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2"/>
  </bookViews>
  <sheets>
    <sheet name="Cac lớp thường  " sheetId="1" r:id="rId1"/>
    <sheet name="CLC" sheetId="2" r:id="rId2"/>
    <sheet name="K53,K54,K55,K56 QTKD" sheetId="3" r:id="rId3"/>
  </sheets>
  <definedNames>
    <definedName name="_xlnm._FilterDatabase" localSheetId="0" hidden="1">'Cac lớp thường  '!$A$5:$L$195</definedName>
    <definedName name="_xlnm._FilterDatabase" localSheetId="1" hidden="1">'CLC'!$A$6:$J$30</definedName>
    <definedName name="_xlnm._FilterDatabase" localSheetId="2" hidden="1">'K53,K54,K55,K56 QTKD'!$A$5:$K$40</definedName>
    <definedName name="_xlnm.Print_Titles" localSheetId="0">'Cac lớp thường  '!$4:$5</definedName>
    <definedName name="_xlnm.Print_Titles" localSheetId="2">'K53,K54,K55,K56 QTKD'!$4:$5</definedName>
  </definedNames>
  <calcPr fullCalcOnLoad="1"/>
</workbook>
</file>

<file path=xl/sharedStrings.xml><?xml version="1.0" encoding="utf-8"?>
<sst xmlns="http://schemas.openxmlformats.org/spreadsheetml/2006/main" count="790" uniqueCount="313">
  <si>
    <t>  STT</t>
  </si>
  <si>
    <t>Họ tên</t>
  </si>
  <si>
    <t>Ngày sinh</t>
  </si>
  <si>
    <t>Loại học bổng</t>
  </si>
  <si>
    <t>Tổng số tiền được nhận (5 tháng)</t>
  </si>
  <si>
    <t>Lớp</t>
  </si>
  <si>
    <t>Mức học bổng</t>
  </si>
  <si>
    <t>Tổng:</t>
  </si>
  <si>
    <t>Ghi chú</t>
  </si>
  <si>
    <t>Mã sinh viên</t>
  </si>
  <si>
    <t>C</t>
  </si>
  <si>
    <t>B</t>
  </si>
  <si>
    <t>A</t>
  </si>
  <si>
    <t>Mã SV</t>
  </si>
  <si>
    <t>Tổng số tiền được nhận 
(5 tháng)</t>
  </si>
  <si>
    <t>HỌC KỲ I NĂM HỌC 2011 - 2012 HỆ ĐẠT TRÌNH ĐỘ QUỐC TẾ</t>
  </si>
  <si>
    <t>HỌC KỲ I NĂM HỌC 2011 - 2012 HỆ CHẤT LƯỢNG CAO</t>
  </si>
  <si>
    <t>HỌC KỲ I NĂM HỌC 2011 - 2012 HỆ CHUẨN</t>
  </si>
  <si>
    <t>Nguyễn Thị Hồng Duyên</t>
  </si>
  <si>
    <t>QH-2008-E KTĐN</t>
  </si>
  <si>
    <t>Chu Tuấn Đạt</t>
  </si>
  <si>
    <t>Phạm Thu Thảo</t>
  </si>
  <si>
    <t>Trương Thị Hường</t>
  </si>
  <si>
    <t>Tòng Phương Trang</t>
  </si>
  <si>
    <t>Lê Thị Thu Trang</t>
  </si>
  <si>
    <t>Nguyễn Hữu Linh</t>
  </si>
  <si>
    <t>Bùi Anh Tuấn</t>
  </si>
  <si>
    <t>Nguyễn Thị Hồng Anh</t>
  </si>
  <si>
    <t>Đặng Thị Hà</t>
  </si>
  <si>
    <t>Lê Thùy Na</t>
  </si>
  <si>
    <t>Trịnh Đình Hiếu</t>
  </si>
  <si>
    <t>Vũ Thị Thỏa</t>
  </si>
  <si>
    <t>Vũ Thuỳ Linh</t>
  </si>
  <si>
    <t>QH-2008-E KTCT</t>
  </si>
  <si>
    <t>Hoàng Thị Ngân</t>
  </si>
  <si>
    <t>Hoàng Thuỳ Dung</t>
  </si>
  <si>
    <t>Trần Thị Hướng</t>
  </si>
  <si>
    <t>Trần Thị Ngọc Bích</t>
  </si>
  <si>
    <t>Vũ Thị Thu</t>
  </si>
  <si>
    <t>Mai Quỳnh Nga</t>
  </si>
  <si>
    <t>Dương Thị Huyền Trang</t>
  </si>
  <si>
    <t>Trần Thị Giáng Quỳnh</t>
  </si>
  <si>
    <t>QH-2008-E KTPT</t>
  </si>
  <si>
    <t>Nguyễn Thị Hiền</t>
  </si>
  <si>
    <t>Chu Thị Nhường</t>
  </si>
  <si>
    <t>Vũ Thị Quỳ</t>
  </si>
  <si>
    <t>Trần Thị Hồng Vân</t>
  </si>
  <si>
    <t>Lê Thị Hải Yến</t>
  </si>
  <si>
    <t>Đinh Thị Thuỳ</t>
  </si>
  <si>
    <t>QH-2008-E TCNH</t>
  </si>
  <si>
    <t>Phạm Thị Hồng Vân</t>
  </si>
  <si>
    <t>Hoàng Cẩm Vân</t>
  </si>
  <si>
    <t>Lê Thị Trang</t>
  </si>
  <si>
    <t>Nguyễn Thế Mạnh</t>
  </si>
  <si>
    <t>Nguyễn Thu Hằng</t>
  </si>
  <si>
    <t>Nguyễn Trọng Khánh</t>
  </si>
  <si>
    <t>Phạm Văn Minh</t>
  </si>
  <si>
    <t>Tạ Thị Thu Hà</t>
  </si>
  <si>
    <t>Ninh Thị Thuỳ Dương</t>
  </si>
  <si>
    <t>Bùi Ngọc Thu</t>
  </si>
  <si>
    <t>Vũ Thị Mai Sao</t>
  </si>
  <si>
    <t>Vi Thuận Yến</t>
  </si>
  <si>
    <t>Tiêu Thị Hà</t>
  </si>
  <si>
    <t>Lê Thị Thanh Loan</t>
  </si>
  <si>
    <t>Nguyễn Mai Oanh</t>
  </si>
  <si>
    <t>QH-2009-E KTĐN</t>
  </si>
  <si>
    <t>Nguyễn Thị Hồng Nhung</t>
  </si>
  <si>
    <t>Nguyễn Thùy Trang</t>
  </si>
  <si>
    <t>Nguyễn Hồng Hải</t>
  </si>
  <si>
    <t>Nguyễn Thị Hường</t>
  </si>
  <si>
    <t>Lê Mai Kim Hương</t>
  </si>
  <si>
    <t>Phan Thị Khánh Dy</t>
  </si>
  <si>
    <t>Lều Thị Mai Hương</t>
  </si>
  <si>
    <t>Nguyễn Thị Ái Thương</t>
  </si>
  <si>
    <t>Vũ Thị Mai Thanh</t>
  </si>
  <si>
    <t>Đỗ Thị Hồng Thắm</t>
  </si>
  <si>
    <t>Hoàng Thu Mai</t>
  </si>
  <si>
    <t>Vũ Hà My</t>
  </si>
  <si>
    <t>Nguyễn Bích Ngọc</t>
  </si>
  <si>
    <t>Nguyễn Thị Thu Thuỷ</t>
  </si>
  <si>
    <t>QH-2009-E KTCT</t>
  </si>
  <si>
    <t>Tạ Thị Huyền</t>
  </si>
  <si>
    <t>QH-2009-E KTPT</t>
  </si>
  <si>
    <t>Bạch Thị Thanh Thanh</t>
  </si>
  <si>
    <t>Nguyễn Thị Nhung</t>
  </si>
  <si>
    <t>Nguyễn Trí Nhân</t>
  </si>
  <si>
    <t>Phan Thị Thanh Ngà</t>
  </si>
  <si>
    <t>Nguyễn Thị Luyến</t>
  </si>
  <si>
    <t>QH-2009-E TCNH</t>
  </si>
  <si>
    <t>Nguyễn Thị Xuyến</t>
  </si>
  <si>
    <t>Đào Thị Thuý</t>
  </si>
  <si>
    <t>Nguyễn Thị Thuý</t>
  </si>
  <si>
    <t>Dương Thị Anh</t>
  </si>
  <si>
    <t>Nguyễn Thị Thuần</t>
  </si>
  <si>
    <t>Lý Thị Thơm</t>
  </si>
  <si>
    <t>Nguyễn Thị Hồng Minh</t>
  </si>
  <si>
    <t>Nguyễn Thị Thi</t>
  </si>
  <si>
    <t>Phạm Thị Thanh Thuỷ</t>
  </si>
  <si>
    <t>Đào Thị Hải Yến</t>
  </si>
  <si>
    <t>Hồ Thị Sương Mai</t>
  </si>
  <si>
    <t>Nguyễn Thị Phương</t>
  </si>
  <si>
    <t>Nguyễn Thanh Trầm</t>
  </si>
  <si>
    <t>Vũ Thị Thanh</t>
  </si>
  <si>
    <t>Đào Chiến Thắng</t>
  </si>
  <si>
    <t>QH-2009-E TCNH-TA</t>
  </si>
  <si>
    <t>Phùng Đức Quyền</t>
  </si>
  <si>
    <t>Phạm Thị Huyền Trang</t>
  </si>
  <si>
    <t>QH-2010-E KETOAN</t>
  </si>
  <si>
    <t>Nguyễn Thị Kim Hoàn</t>
  </si>
  <si>
    <t>Nguyễn Thị Thu Trang</t>
  </si>
  <si>
    <t>Trần Thị Loan</t>
  </si>
  <si>
    <t>Nguyễn Thị Nga</t>
  </si>
  <si>
    <t>Nguyễn Thị Hà Nhi</t>
  </si>
  <si>
    <t>Đào Thị Thanh Huyền</t>
  </si>
  <si>
    <t>QH-2010-E KTĐN</t>
  </si>
  <si>
    <t>Phùng Thị Phương Mai</t>
  </si>
  <si>
    <t>Hoàng Thị Lâm Oanh</t>
  </si>
  <si>
    <t>Vũ Thị Hải Yến</t>
  </si>
  <si>
    <t>Nguyễn Thị Hoàng Yến</t>
  </si>
  <si>
    <t>Nguyễn Thị Diễm My</t>
  </si>
  <si>
    <t>Nguyễn Thu Thủy</t>
  </si>
  <si>
    <t>Vũ Lê Mai</t>
  </si>
  <si>
    <t>QH-2010-E KTCT</t>
  </si>
  <si>
    <t>Trịnh Hồng Thái</t>
  </si>
  <si>
    <t>QH-2010-E KTPT</t>
  </si>
  <si>
    <t>Nguyễn Thị Hạnh</t>
  </si>
  <si>
    <t>Phạm Thị Tú Anh</t>
  </si>
  <si>
    <t>Đặng Thị Bồng</t>
  </si>
  <si>
    <t>Vũ Văn Tuấn</t>
  </si>
  <si>
    <t>Lê Khánh Hương</t>
  </si>
  <si>
    <t>QH-2010-E TCNH</t>
  </si>
  <si>
    <t>Nguyễn Thị Mai Hoà</t>
  </si>
  <si>
    <t>Nguyễn Thị Kim Hoa</t>
  </si>
  <si>
    <t>Đinh Thị Thu Nga</t>
  </si>
  <si>
    <t>Hoàng Minh Hải</t>
  </si>
  <si>
    <t>Phạm Thị Phương Hoa</t>
  </si>
  <si>
    <t>Nguyễn Thị Mây</t>
  </si>
  <si>
    <t>Vũ Thị Thu Thảo</t>
  </si>
  <si>
    <t>Nguyễn Thị Minh Hiền</t>
  </si>
  <si>
    <t>Nguyễn Thị Ngọc Diệp</t>
  </si>
  <si>
    <t>Nguyễn Thị Bảo Yến</t>
  </si>
  <si>
    <t>Vũ Thị Giang</t>
  </si>
  <si>
    <t>Bùi Thị Bích Ngọc</t>
  </si>
  <si>
    <t>Nguyễn Hữu Thọ</t>
  </si>
  <si>
    <t>Bùi Thị Hoa</t>
  </si>
  <si>
    <t>Đinh Thị Phương Thảo</t>
  </si>
  <si>
    <t>Đỗ Hồng Ngân</t>
  </si>
  <si>
    <t>QH-2011-E KETOAN</t>
  </si>
  <si>
    <t>Ngô Thị Hoàng Yến</t>
  </si>
  <si>
    <t>Đào Thị Thu Hiền</t>
  </si>
  <si>
    <t>Nguyễn Thị Hoàng Anh</t>
  </si>
  <si>
    <t>Nguyễn Trọng Khôi</t>
  </si>
  <si>
    <t>Trần Thu Hương</t>
  </si>
  <si>
    <t>Nguyễn Thuỳ Linh</t>
  </si>
  <si>
    <t>Hồ Thị Thuỳ Linh</t>
  </si>
  <si>
    <t>Đoàn Thị Lành</t>
  </si>
  <si>
    <t>QH-2011-E KINHTE</t>
  </si>
  <si>
    <t>Lê Ngọc Anh</t>
  </si>
  <si>
    <t>Đinh Thị Duyên</t>
  </si>
  <si>
    <t>Nguyễn Khánh Toàn</t>
  </si>
  <si>
    <t>Nguyễn Phương Trang</t>
  </si>
  <si>
    <t>Nguyễn Ngọc Tiến</t>
  </si>
  <si>
    <t>Phạm Thị Thủy</t>
  </si>
  <si>
    <t>Hồ Hương Giang</t>
  </si>
  <si>
    <t>Bùi Thị Nga</t>
  </si>
  <si>
    <t>QH-2011-E KTPT</t>
  </si>
  <si>
    <t>Lê Hồng Nhung</t>
  </si>
  <si>
    <t>Ngô Thị Hiền</t>
  </si>
  <si>
    <t>Lê Thị Lan Hương</t>
  </si>
  <si>
    <t>Nguyễn Phan Hưng</t>
  </si>
  <si>
    <t>Võ Thu Hiền</t>
  </si>
  <si>
    <t>Hứa Thị Mai Phương</t>
  </si>
  <si>
    <t>Nguyễn Thị Thúy</t>
  </si>
  <si>
    <t>Chu Thị Mai</t>
  </si>
  <si>
    <t>QH-2011-E KTQT</t>
  </si>
  <si>
    <t>Lê Thị Ngoan</t>
  </si>
  <si>
    <t>Thạc Thu Trang</t>
  </si>
  <si>
    <t>Phạm Thị Khánh Linh</t>
  </si>
  <si>
    <t>Cáp Thị Dịu</t>
  </si>
  <si>
    <t>Lưu Thị Minh</t>
  </si>
  <si>
    <t>Phạm Minh Phương</t>
  </si>
  <si>
    <t>Hà Thị Lan Hương</t>
  </si>
  <si>
    <t>Nguyễn Thị Loan</t>
  </si>
  <si>
    <t>Phùng Thu Phương</t>
  </si>
  <si>
    <t>QH-2011-E TCNH</t>
  </si>
  <si>
    <t>Trác Thị Thủy</t>
  </si>
  <si>
    <t>Trần Giang Nam</t>
  </si>
  <si>
    <t>Lê Thùy Linh</t>
  </si>
  <si>
    <t>Nguyễn Trúc Quỳnh</t>
  </si>
  <si>
    <t>Hoàng Thị Mị</t>
  </si>
  <si>
    <t>Bùi Thị Hương Lan</t>
  </si>
  <si>
    <t>Mai Thị Lan</t>
  </si>
  <si>
    <t>Cao Thu Trang</t>
  </si>
  <si>
    <t>Đào Linh Giang</t>
  </si>
  <si>
    <t>Trương Thị Ngân</t>
  </si>
  <si>
    <t>Đinh Duy Hưng</t>
  </si>
  <si>
    <t>QH-2008-E KTĐN-CLC</t>
  </si>
  <si>
    <t>Nguyễn Thu Huyền</t>
  </si>
  <si>
    <t>QH-2009-E KTĐN-CLC</t>
  </si>
  <si>
    <t>Võ Thị Thái</t>
  </si>
  <si>
    <t>Phạm Hà My</t>
  </si>
  <si>
    <t>Hoàng Huyền Ngọc</t>
  </si>
  <si>
    <t>QH-2010-E KTĐN-CLC</t>
  </si>
  <si>
    <t>Nguyễn Thị Nhung Anh</t>
  </si>
  <si>
    <t>Nguyễn Vũ Tùng Lâm</t>
  </si>
  <si>
    <t>Phạm Văn Nhớ</t>
  </si>
  <si>
    <t>Nguyễn Hà Phương</t>
  </si>
  <si>
    <t>Đàm Thị Thảo</t>
  </si>
  <si>
    <t>QH-2011-E KTQT-CLC</t>
  </si>
  <si>
    <t>Nguyễn Thị Thiên Duyên</t>
  </si>
  <si>
    <t>Nguyễn Phương Mai</t>
  </si>
  <si>
    <t>Nguyễn Thị Thoa</t>
  </si>
  <si>
    <t>Lê Thị Thanh Xuân</t>
  </si>
  <si>
    <t>Cao Thị Huyền Trang</t>
  </si>
  <si>
    <t>QH-2011-E TCNH-CLC</t>
  </si>
  <si>
    <t>Trần Lê Trà My</t>
  </si>
  <si>
    <t>Nguyễn Thị Thu Hiền</t>
  </si>
  <si>
    <t>Ngô Thị Thu Quỳnh</t>
  </si>
  <si>
    <t>Nguyễn Hồng Nhung</t>
  </si>
  <si>
    <t>Điểm TBCHT học kỳ I năm học 2011 - 2012</t>
  </si>
  <si>
    <t>ĐRL học kỳ I năm học 2011-2012</t>
  </si>
  <si>
    <t>Nguyễn Huệ Minh</t>
  </si>
  <si>
    <t>QH-2008-E QTKD</t>
  </si>
  <si>
    <t>Mai Quỳnh Anh</t>
  </si>
  <si>
    <t>Trần Xuân Phúc</t>
  </si>
  <si>
    <t>Nguyễn Quốc Tú</t>
  </si>
  <si>
    <t>Hoàng Thị Hồng Nhung</t>
  </si>
  <si>
    <t>Nguyễn Lê Hoa</t>
  </si>
  <si>
    <t>QH-2009-E QTKD</t>
  </si>
  <si>
    <t>Nguyễn Thị Huyền</t>
  </si>
  <si>
    <t>Nguyễn Phương Nhung</t>
  </si>
  <si>
    <t>Vũ Thị Thảo</t>
  </si>
  <si>
    <t>Dương Ngọc Anh</t>
  </si>
  <si>
    <t>Nguyễn Thuỳ Dương</t>
  </si>
  <si>
    <t>Nguyễn Như Ngọc</t>
  </si>
  <si>
    <t>Nguyễn Ngọc Quân</t>
  </si>
  <si>
    <t>QH-2010-E QTKD</t>
  </si>
  <si>
    <t>Phạm Quốc Việt</t>
  </si>
  <si>
    <t>Nguyễn Thị Linh Chi</t>
  </si>
  <si>
    <t>Nguyễn Ngọc Bé</t>
  </si>
  <si>
    <t>Trần Ngọc Huyền</t>
  </si>
  <si>
    <t>Nguyễn Thị Nhàn</t>
  </si>
  <si>
    <t>Nguyễn Phương Anh</t>
  </si>
  <si>
    <t>Trịnh Ngọc Hồng Anh</t>
  </si>
  <si>
    <t>QH-2011-E QTKD</t>
  </si>
  <si>
    <t>Nguyễn Đại Cương</t>
  </si>
  <si>
    <t>Mai Chấn Hoàng</t>
  </si>
  <si>
    <t>Nguyễn Thị Thảo Ly</t>
  </si>
  <si>
    <t>Đặng Thị Liên</t>
  </si>
  <si>
    <t>Nguyễn Vân Anh</t>
  </si>
  <si>
    <t>Phạm Khánh Duy</t>
  </si>
  <si>
    <t>Hoàng Vũ Dương</t>
  </si>
  <si>
    <t>Nguyễn Nam Phương</t>
  </si>
  <si>
    <t>Lê Thị Phương Thảo</t>
  </si>
  <si>
    <t>Nguyễn Thị Hồng Vân</t>
  </si>
  <si>
    <t>ĐRL học kỳ I năm học
 2011-2012</t>
  </si>
  <si>
    <t>09050146</t>
  </si>
  <si>
    <t>Nguyễn Đức Dũng</t>
  </si>
  <si>
    <t>10050086</t>
  </si>
  <si>
    <t>Bùi Thị Oanh</t>
  </si>
  <si>
    <t>10050134</t>
  </si>
  <si>
    <t>Trần Đình Tùng</t>
  </si>
  <si>
    <t>Dương Thị Hồng Phương</t>
  </si>
  <si>
    <t>08050023</t>
  </si>
  <si>
    <t>Hà Đăng Vũ</t>
  </si>
  <si>
    <t>09050425</t>
  </si>
  <si>
    <t>Đoàn Ngọc Diệu Hằng</t>
  </si>
  <si>
    <t>11050370</t>
  </si>
  <si>
    <t>Hoàng Tuấn Anh</t>
  </si>
  <si>
    <t>08050121</t>
  </si>
  <si>
    <t>Bùi Hồng Hạnh</t>
  </si>
  <si>
    <t>Nguyễn Như Thế Anh</t>
  </si>
  <si>
    <t>Bằng chữ: Bốn tám triệu một trăm nghìn đồng.</t>
  </si>
  <si>
    <t>11050373</t>
  </si>
  <si>
    <t>Võ Thị Bích Ngọc</t>
  </si>
  <si>
    <t>Nguyễn Thị Thu Liễu</t>
  </si>
  <si>
    <t>Nguyễn Thị Kim Anh</t>
  </si>
  <si>
    <t>Nguyễn Thị Cách</t>
  </si>
  <si>
    <t>Văn Hồng Hạnh</t>
  </si>
  <si>
    <t>Đào Thị Hường</t>
  </si>
  <si>
    <t>Trưởng Thị Ngọc</t>
  </si>
  <si>
    <t>Vũ Thị Thuỷ</t>
  </si>
  <si>
    <t>Trần Thuỳ Liên</t>
  </si>
  <si>
    <t>Đỗ Thị Dung</t>
  </si>
  <si>
    <t>Võ Thị Tố Tâm</t>
  </si>
  <si>
    <t>Tống Mĩ Dung</t>
  </si>
  <si>
    <t>Thái Quỳnh Trang</t>
  </si>
  <si>
    <t>Nguyễn Thị Nhật Anh</t>
  </si>
  <si>
    <t>Trần Thanh Vân</t>
  </si>
  <si>
    <t>Trần Thị Thu Trang</t>
  </si>
  <si>
    <t>Nguyễn Thị Hương Bằng</t>
  </si>
  <si>
    <t>Tống Thị Duyên</t>
  </si>
  <si>
    <t>Tống Thị Minh</t>
  </si>
  <si>
    <t>Hà Hiểu Huế</t>
  </si>
  <si>
    <t>08050385</t>
  </si>
  <si>
    <t>10050360</t>
  </si>
  <si>
    <t>Ngô Thị Hoa</t>
  </si>
  <si>
    <t>09050445</t>
  </si>
  <si>
    <t>Nguyễn Thị Thuỳ Linh</t>
  </si>
  <si>
    <t>08050093</t>
  </si>
  <si>
    <t>Vũ Thị Phương Thuý</t>
  </si>
  <si>
    <t>09050442</t>
  </si>
  <si>
    <t>Trần Thị Liên</t>
  </si>
  <si>
    <t>Nguyễn Thị Mai Anh</t>
  </si>
  <si>
    <t>Bằng chữ: Ba trăm linh một triệu bốn trăm nghìn đồng.</t>
  </si>
  <si>
    <t>Nguyễn Thị Thu Hoài</t>
  </si>
  <si>
    <t>Bằng chữ: Một trăm mười một triệu năm trăm hai lăm nghìn đồng.</t>
  </si>
  <si>
    <t>DANH SÁCH SINH VIÊN ĐƯỢC NHẬN HỌC BỔNG KHUYẾN KHÍCH HỌC TẬP</t>
  </si>
  <si>
    <t xml:space="preserve"> DANH SÁCH SINH VIÊN ĐƯỢC NHẬN HỌC BỔNG KHUYẾN KHÍCH HỌC TẬP</t>
  </si>
  <si>
    <t xml:space="preserve"> DANH SÁCH SINH VIÊN ĐƯỢC CẤP HỌC BỔNG KHUYẾN KHÍCH HỌC TẬP</t>
  </si>
  <si>
    <t>(Kèm theo Công văn số:    1001 /QĐ- ĐHKT ngày   21    tháng   5     năm 2012)</t>
  </si>
  <si>
    <t>(Kèm theo Công văn số      1001       /QĐ-ĐHKT ngày    21   tháng     5     năm 2012)</t>
  </si>
  <si>
    <t>(Kèm theo Công văn số        1001     /QĐ-ĐHKT ngày    21    tháng    5     năm 2012)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</si>
</sst>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_(* #,##0.0_);_(* \(#,##0.0\);_(* &quot;-&quot;??_);_(@_)"/>
    <numFmt numFmtId="171" formatCode="mmm\-yyyy"/>
    <numFmt numFmtId="172" formatCode="0.0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/>
    </xf>
    <xf numFmtId="164" fontId="6" fillId="2" borderId="3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164" fontId="6" fillId="2" borderId="7" xfId="0" applyNumberFormat="1" applyFont="1" applyFill="1" applyBorder="1" applyAlignment="1">
      <alignment horizontal="right" wrapText="1"/>
    </xf>
    <xf numFmtId="164" fontId="6" fillId="0" borderId="8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15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64" fontId="10" fillId="0" borderId="1" xfId="15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48</xdr:row>
      <xdr:rowOff>0</xdr:rowOff>
    </xdr:from>
    <xdr:to>
      <xdr:col>13</xdr:col>
      <xdr:colOff>419100</xdr:colOff>
      <xdr:row>49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0372725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257175</xdr:colOff>
      <xdr:row>49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0372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12</xdr:col>
      <xdr:colOff>304800</xdr:colOff>
      <xdr:row>49</xdr:row>
      <xdr:rowOff>66675</xdr:rowOff>
    </xdr:to>
    <xdr:pic>
      <xdr:nvPicPr>
        <xdr:cNvPr id="3" name="Picture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1037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95"/>
  <sheetViews>
    <sheetView workbookViewId="0" topLeftCell="A13">
      <selection activeCell="A3" sqref="A3"/>
    </sheetView>
  </sheetViews>
  <sheetFormatPr defaultColWidth="9.140625" defaultRowHeight="12.75"/>
  <cols>
    <col min="1" max="1" width="4.00390625" style="2" customWidth="1"/>
    <col min="2" max="2" width="11.57421875" style="2" customWidth="1"/>
    <col min="3" max="3" width="24.57421875" style="2" customWidth="1"/>
    <col min="4" max="4" width="10.140625" style="2" bestFit="1" customWidth="1"/>
    <col min="5" max="5" width="22.00390625" style="2" customWidth="1"/>
    <col min="6" max="6" width="12.7109375" style="2" customWidth="1"/>
    <col min="7" max="7" width="9.7109375" style="2" customWidth="1"/>
    <col min="8" max="8" width="8.8515625" style="2" customWidth="1"/>
    <col min="9" max="9" width="12.421875" style="2" customWidth="1"/>
    <col min="10" max="10" width="14.140625" style="2" customWidth="1"/>
    <col min="11" max="11" width="13.00390625" style="2" customWidth="1"/>
    <col min="12" max="16384" width="9.140625" style="2" customWidth="1"/>
  </cols>
  <sheetData>
    <row r="1" spans="1:10" ht="21.75" customHeight="1">
      <c r="A1" s="3" t="s">
        <v>309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" t="s">
        <v>17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6" t="s">
        <v>310</v>
      </c>
      <c r="B3" s="6"/>
      <c r="C3" s="6"/>
      <c r="D3" s="6"/>
      <c r="E3" s="6"/>
      <c r="F3" s="6"/>
      <c r="G3" s="6"/>
      <c r="H3" s="6"/>
      <c r="I3" s="6"/>
      <c r="J3" s="6"/>
    </row>
    <row r="4" spans="1:11" s="16" customFormat="1" ht="12" customHeight="1">
      <c r="A4" s="69" t="s">
        <v>0</v>
      </c>
      <c r="B4" s="67" t="s">
        <v>13</v>
      </c>
      <c r="C4" s="67" t="s">
        <v>1</v>
      </c>
      <c r="D4" s="67" t="s">
        <v>2</v>
      </c>
      <c r="E4" s="67" t="s">
        <v>5</v>
      </c>
      <c r="F4" s="67" t="s">
        <v>219</v>
      </c>
      <c r="G4" s="67" t="s">
        <v>220</v>
      </c>
      <c r="H4" s="67" t="s">
        <v>3</v>
      </c>
      <c r="I4" s="67" t="s">
        <v>6</v>
      </c>
      <c r="J4" s="73" t="s">
        <v>4</v>
      </c>
      <c r="K4" s="71" t="s">
        <v>8</v>
      </c>
    </row>
    <row r="5" spans="1:11" s="16" customFormat="1" ht="30" customHeight="1">
      <c r="A5" s="70"/>
      <c r="B5" s="68"/>
      <c r="C5" s="68"/>
      <c r="D5" s="68"/>
      <c r="E5" s="68"/>
      <c r="F5" s="68"/>
      <c r="G5" s="68"/>
      <c r="H5" s="68"/>
      <c r="I5" s="68"/>
      <c r="J5" s="74"/>
      <c r="K5" s="72"/>
    </row>
    <row r="6" spans="1:12" s="7" customFormat="1" ht="18" customHeight="1">
      <c r="A6" s="13">
        <v>1</v>
      </c>
      <c r="B6" s="47" t="str">
        <f>RIGHT("a08050040",LEN("a08050040")-1)</f>
        <v>08050040</v>
      </c>
      <c r="C6" s="48" t="s">
        <v>18</v>
      </c>
      <c r="D6" s="47" t="str">
        <f>RIGHT("a12/06/1990",LEN("a12/06/1990")-1)</f>
        <v>12/06/1990</v>
      </c>
      <c r="E6" s="49" t="s">
        <v>19</v>
      </c>
      <c r="F6" s="50">
        <v>3.72</v>
      </c>
      <c r="G6" s="50">
        <v>81</v>
      </c>
      <c r="H6" s="50" t="s">
        <v>11</v>
      </c>
      <c r="I6" s="51">
        <v>330000</v>
      </c>
      <c r="J6" s="52">
        <f aca="true" t="shared" si="0" ref="J6:J38">I6*5</f>
        <v>1650000</v>
      </c>
      <c r="K6" s="17"/>
      <c r="L6" s="7" t="e">
        <f>SUM(#REF!)</f>
        <v>#REF!</v>
      </c>
    </row>
    <row r="7" spans="1:11" s="7" customFormat="1" ht="18" customHeight="1">
      <c r="A7" s="13">
        <v>2</v>
      </c>
      <c r="B7" s="47" t="str">
        <f>RIGHT("a08050033",LEN("a08050033")-1)</f>
        <v>08050033</v>
      </c>
      <c r="C7" s="48" t="s">
        <v>20</v>
      </c>
      <c r="D7" s="47" t="str">
        <f>RIGHT("a08/02/1990",LEN("a08/02/1990")-1)</f>
        <v>08/02/1990</v>
      </c>
      <c r="E7" s="49" t="s">
        <v>19</v>
      </c>
      <c r="F7" s="50">
        <v>3.68</v>
      </c>
      <c r="G7" s="50">
        <v>76</v>
      </c>
      <c r="H7" s="50" t="s">
        <v>10</v>
      </c>
      <c r="I7" s="51">
        <v>290000</v>
      </c>
      <c r="J7" s="52">
        <f t="shared" si="0"/>
        <v>1450000</v>
      </c>
      <c r="K7" s="17"/>
    </row>
    <row r="8" spans="1:11" s="7" customFormat="1" ht="18" customHeight="1">
      <c r="A8" s="13">
        <v>3</v>
      </c>
      <c r="B8" s="47" t="str">
        <f>RIGHT("a08050090",LEN("a08050090")-1)</f>
        <v>08050090</v>
      </c>
      <c r="C8" s="48" t="s">
        <v>21</v>
      </c>
      <c r="D8" s="47" t="str">
        <f>RIGHT("a13/06/1990",LEN("a13/06/1990")-1)</f>
        <v>13/06/1990</v>
      </c>
      <c r="E8" s="49" t="s">
        <v>19</v>
      </c>
      <c r="F8" s="50">
        <v>3.6</v>
      </c>
      <c r="G8" s="50">
        <v>91</v>
      </c>
      <c r="H8" s="50" t="s">
        <v>12</v>
      </c>
      <c r="I8" s="51">
        <v>370000</v>
      </c>
      <c r="J8" s="52">
        <f t="shared" si="0"/>
        <v>1850000</v>
      </c>
      <c r="K8" s="17"/>
    </row>
    <row r="9" spans="1:11" s="7" customFormat="1" ht="18" customHeight="1">
      <c r="A9" s="13">
        <v>4</v>
      </c>
      <c r="B9" s="47" t="str">
        <f>RIGHT("a08050058",LEN("a08050058")-1)</f>
        <v>08050058</v>
      </c>
      <c r="C9" s="48" t="s">
        <v>22</v>
      </c>
      <c r="D9" s="47" t="str">
        <f>RIGHT("a16/06/1990",LEN("a16/06/1990")-1)</f>
        <v>16/06/1990</v>
      </c>
      <c r="E9" s="49" t="s">
        <v>19</v>
      </c>
      <c r="F9" s="50">
        <v>3.57</v>
      </c>
      <c r="G9" s="50">
        <v>79</v>
      </c>
      <c r="H9" s="50" t="s">
        <v>10</v>
      </c>
      <c r="I9" s="51">
        <v>290000</v>
      </c>
      <c r="J9" s="52">
        <f t="shared" si="0"/>
        <v>1450000</v>
      </c>
      <c r="K9" s="17"/>
    </row>
    <row r="10" spans="1:11" s="7" customFormat="1" ht="18" customHeight="1">
      <c r="A10" s="13">
        <v>5</v>
      </c>
      <c r="B10" s="47" t="str">
        <f>RIGHT("a08050100",LEN("a08050100")-1)</f>
        <v>08050100</v>
      </c>
      <c r="C10" s="48" t="s">
        <v>23</v>
      </c>
      <c r="D10" s="47" t="str">
        <f>RIGHT("a12/08/1989",LEN("a12/08/1989")-1)</f>
        <v>12/08/1989</v>
      </c>
      <c r="E10" s="49" t="s">
        <v>19</v>
      </c>
      <c r="F10" s="50">
        <v>3.57</v>
      </c>
      <c r="G10" s="50">
        <v>79</v>
      </c>
      <c r="H10" s="50" t="s">
        <v>10</v>
      </c>
      <c r="I10" s="51">
        <v>290000</v>
      </c>
      <c r="J10" s="52">
        <f t="shared" si="0"/>
        <v>1450000</v>
      </c>
      <c r="K10" s="17"/>
    </row>
    <row r="11" spans="1:11" s="7" customFormat="1" ht="18" customHeight="1">
      <c r="A11" s="13">
        <v>6</v>
      </c>
      <c r="B11" s="47" t="str">
        <f>RIGHT("a08050102",LEN("a08050102")-1)</f>
        <v>08050102</v>
      </c>
      <c r="C11" s="48" t="s">
        <v>24</v>
      </c>
      <c r="D11" s="47" t="str">
        <f>RIGHT("a23/01/1990",LEN("a23/01/1990")-1)</f>
        <v>23/01/1990</v>
      </c>
      <c r="E11" s="49" t="s">
        <v>19</v>
      </c>
      <c r="F11" s="50">
        <v>3.56</v>
      </c>
      <c r="G11" s="50">
        <v>79</v>
      </c>
      <c r="H11" s="50" t="s">
        <v>10</v>
      </c>
      <c r="I11" s="51">
        <v>290000</v>
      </c>
      <c r="J11" s="52">
        <f t="shared" si="0"/>
        <v>1450000</v>
      </c>
      <c r="K11" s="17"/>
    </row>
    <row r="12" spans="1:11" s="8" customFormat="1" ht="18" customHeight="1">
      <c r="A12" s="13">
        <v>7</v>
      </c>
      <c r="B12" s="47" t="str">
        <f>RIGHT("a08050062",LEN("a08050062")-1)</f>
        <v>08050062</v>
      </c>
      <c r="C12" s="48" t="s">
        <v>25</v>
      </c>
      <c r="D12" s="47" t="str">
        <f>RIGHT("a23/11/1990",LEN("a23/11/1990")-1)</f>
        <v>23/11/1990</v>
      </c>
      <c r="E12" s="49" t="s">
        <v>19</v>
      </c>
      <c r="F12" s="50">
        <v>3.55</v>
      </c>
      <c r="G12" s="50">
        <v>79</v>
      </c>
      <c r="H12" s="50" t="s">
        <v>10</v>
      </c>
      <c r="I12" s="51">
        <v>290000</v>
      </c>
      <c r="J12" s="52">
        <f t="shared" si="0"/>
        <v>1450000</v>
      </c>
      <c r="K12" s="18"/>
    </row>
    <row r="13" spans="1:11" s="8" customFormat="1" ht="18" customHeight="1">
      <c r="A13" s="13">
        <v>8</v>
      </c>
      <c r="B13" s="57" t="s">
        <v>299</v>
      </c>
      <c r="C13" s="48" t="s">
        <v>300</v>
      </c>
      <c r="D13" s="58">
        <v>32759</v>
      </c>
      <c r="E13" s="49" t="s">
        <v>19</v>
      </c>
      <c r="F13" s="50">
        <v>3.47</v>
      </c>
      <c r="G13" s="50">
        <v>79</v>
      </c>
      <c r="H13" s="50" t="s">
        <v>10</v>
      </c>
      <c r="I13" s="51">
        <v>290000</v>
      </c>
      <c r="J13" s="52">
        <f t="shared" si="0"/>
        <v>1450000</v>
      </c>
      <c r="K13" s="18"/>
    </row>
    <row r="14" spans="1:11" s="8" customFormat="1" ht="18" customHeight="1">
      <c r="A14" s="13">
        <v>9</v>
      </c>
      <c r="B14" s="47" t="str">
        <f>RIGHT("a08050103",LEN("a08050103")-1)</f>
        <v>08050103</v>
      </c>
      <c r="C14" s="48" t="s">
        <v>26</v>
      </c>
      <c r="D14" s="47" t="str">
        <f>RIGHT("a13/12/1990",LEN("a13/12/1990")-1)</f>
        <v>13/12/1990</v>
      </c>
      <c r="E14" s="49" t="s">
        <v>19</v>
      </c>
      <c r="F14" s="50">
        <v>3.47</v>
      </c>
      <c r="G14" s="50">
        <v>79</v>
      </c>
      <c r="H14" s="50" t="s">
        <v>10</v>
      </c>
      <c r="I14" s="51">
        <v>290000</v>
      </c>
      <c r="J14" s="52">
        <f t="shared" si="0"/>
        <v>1450000</v>
      </c>
      <c r="K14" s="18"/>
    </row>
    <row r="15" spans="1:11" s="8" customFormat="1" ht="18" customHeight="1">
      <c r="A15" s="13">
        <v>10</v>
      </c>
      <c r="B15" s="47" t="str">
        <f>RIGHT("a08050027",LEN("a08050027")-1)</f>
        <v>08050027</v>
      </c>
      <c r="C15" s="48" t="s">
        <v>27</v>
      </c>
      <c r="D15" s="47" t="str">
        <f>RIGHT("a13/11/1990",LEN("a13/11/1990")-1)</f>
        <v>13/11/1990</v>
      </c>
      <c r="E15" s="49" t="s">
        <v>19</v>
      </c>
      <c r="F15" s="50">
        <v>3.45</v>
      </c>
      <c r="G15" s="50">
        <v>79</v>
      </c>
      <c r="H15" s="50" t="s">
        <v>10</v>
      </c>
      <c r="I15" s="51">
        <v>290000</v>
      </c>
      <c r="J15" s="52">
        <f t="shared" si="0"/>
        <v>1450000</v>
      </c>
      <c r="K15" s="18"/>
    </row>
    <row r="16" spans="1:11" s="8" customFormat="1" ht="18" customHeight="1">
      <c r="A16" s="13">
        <v>11</v>
      </c>
      <c r="B16" s="47" t="str">
        <f>RIGHT("a08050044",LEN("a08050044")-1)</f>
        <v>08050044</v>
      </c>
      <c r="C16" s="48" t="s">
        <v>28</v>
      </c>
      <c r="D16" s="47" t="str">
        <f>RIGHT("a25/01/1990",LEN("a25/01/1990")-1)</f>
        <v>25/01/1990</v>
      </c>
      <c r="E16" s="49" t="s">
        <v>19</v>
      </c>
      <c r="F16" s="50">
        <v>3.45</v>
      </c>
      <c r="G16" s="50">
        <v>79</v>
      </c>
      <c r="H16" s="50" t="s">
        <v>10</v>
      </c>
      <c r="I16" s="51">
        <v>290000</v>
      </c>
      <c r="J16" s="52">
        <f t="shared" si="0"/>
        <v>1450000</v>
      </c>
      <c r="K16" s="18"/>
    </row>
    <row r="17" spans="1:11" s="8" customFormat="1" ht="18" customHeight="1">
      <c r="A17" s="13">
        <v>12</v>
      </c>
      <c r="B17" s="47" t="str">
        <f>RIGHT("a08050072",LEN("a08050072")-1)</f>
        <v>08050072</v>
      </c>
      <c r="C17" s="48" t="s">
        <v>29</v>
      </c>
      <c r="D17" s="47" t="str">
        <f>RIGHT("a20/09/1989",LEN("a20/09/1989")-1)</f>
        <v>20/09/1989</v>
      </c>
      <c r="E17" s="49" t="s">
        <v>19</v>
      </c>
      <c r="F17" s="50">
        <v>3.45</v>
      </c>
      <c r="G17" s="50">
        <v>79</v>
      </c>
      <c r="H17" s="50" t="s">
        <v>10</v>
      </c>
      <c r="I17" s="51">
        <v>290000</v>
      </c>
      <c r="J17" s="52">
        <f t="shared" si="0"/>
        <v>1450000</v>
      </c>
      <c r="K17" s="18"/>
    </row>
    <row r="18" spans="1:11" s="8" customFormat="1" ht="18" customHeight="1">
      <c r="A18" s="13">
        <v>13</v>
      </c>
      <c r="B18" s="47" t="str">
        <f>RIGHT("a08050050",LEN("a08050050")-1)</f>
        <v>08050050</v>
      </c>
      <c r="C18" s="48" t="s">
        <v>30</v>
      </c>
      <c r="D18" s="47" t="str">
        <f>RIGHT("a21/04/1990",LEN("a21/04/1990")-1)</f>
        <v>21/04/1990</v>
      </c>
      <c r="E18" s="49" t="s">
        <v>19</v>
      </c>
      <c r="F18" s="50">
        <v>3.42</v>
      </c>
      <c r="G18" s="50">
        <v>79</v>
      </c>
      <c r="H18" s="50" t="s">
        <v>10</v>
      </c>
      <c r="I18" s="51">
        <v>290000</v>
      </c>
      <c r="J18" s="52">
        <f t="shared" si="0"/>
        <v>1450000</v>
      </c>
      <c r="K18" s="18"/>
    </row>
    <row r="19" spans="1:11" s="8" customFormat="1" ht="18" customHeight="1">
      <c r="A19" s="13">
        <v>14</v>
      </c>
      <c r="B19" s="47" t="str">
        <f>RIGHT("a08050091",LEN("a08050091")-1)</f>
        <v>08050091</v>
      </c>
      <c r="C19" s="48" t="s">
        <v>31</v>
      </c>
      <c r="D19" s="47" t="str">
        <f>RIGHT("a20/02/1990",LEN("a20/02/1990")-1)</f>
        <v>20/02/1990</v>
      </c>
      <c r="E19" s="49" t="s">
        <v>19</v>
      </c>
      <c r="F19" s="50">
        <v>3.41</v>
      </c>
      <c r="G19" s="50">
        <v>79</v>
      </c>
      <c r="H19" s="50" t="s">
        <v>10</v>
      </c>
      <c r="I19" s="51">
        <v>290000</v>
      </c>
      <c r="J19" s="52">
        <f t="shared" si="0"/>
        <v>1450000</v>
      </c>
      <c r="K19" s="18"/>
    </row>
    <row r="20" spans="1:11" s="8" customFormat="1" ht="18" customHeight="1">
      <c r="A20" s="13">
        <v>15</v>
      </c>
      <c r="B20" s="53" t="str">
        <f>RIGHT("a08050182",LEN("a08050182")-1)</f>
        <v>08050182</v>
      </c>
      <c r="C20" s="54" t="s">
        <v>32</v>
      </c>
      <c r="D20" s="53" t="str">
        <f>RIGHT("a24/02/1990",LEN("a24/02/1990")-1)</f>
        <v>24/02/1990</v>
      </c>
      <c r="E20" s="55" t="s">
        <v>33</v>
      </c>
      <c r="F20" s="56">
        <v>3.72</v>
      </c>
      <c r="G20" s="56">
        <v>97</v>
      </c>
      <c r="H20" s="56" t="s">
        <v>12</v>
      </c>
      <c r="I20" s="51">
        <v>370000</v>
      </c>
      <c r="J20" s="52">
        <f t="shared" si="0"/>
        <v>1850000</v>
      </c>
      <c r="K20" s="18"/>
    </row>
    <row r="21" spans="1:11" s="8" customFormat="1" ht="18" customHeight="1">
      <c r="A21" s="13">
        <v>16</v>
      </c>
      <c r="B21" s="53" t="str">
        <f>RIGHT("a08050193",LEN("a08050193")-1)</f>
        <v>08050193</v>
      </c>
      <c r="C21" s="54" t="s">
        <v>34</v>
      </c>
      <c r="D21" s="53" t="str">
        <f>RIGHT("a26/09/1990",LEN("a26/09/1990")-1)</f>
        <v>26/09/1990</v>
      </c>
      <c r="E21" s="55" t="s">
        <v>33</v>
      </c>
      <c r="F21" s="56">
        <v>3.7</v>
      </c>
      <c r="G21" s="56">
        <v>91</v>
      </c>
      <c r="H21" s="56" t="s">
        <v>12</v>
      </c>
      <c r="I21" s="51">
        <v>370000</v>
      </c>
      <c r="J21" s="52">
        <f t="shared" si="0"/>
        <v>1850000</v>
      </c>
      <c r="K21" s="18"/>
    </row>
    <row r="22" spans="1:11" s="8" customFormat="1" ht="18" customHeight="1">
      <c r="A22" s="13">
        <v>17</v>
      </c>
      <c r="B22" s="53" t="str">
        <f>RIGHT("a08050157",LEN("a08050157")-1)</f>
        <v>08050157</v>
      </c>
      <c r="C22" s="54" t="s">
        <v>35</v>
      </c>
      <c r="D22" s="53" t="str">
        <f>RIGHT("a15/01/1990",LEN("a15/01/1990")-1)</f>
        <v>15/01/1990</v>
      </c>
      <c r="E22" s="55" t="s">
        <v>33</v>
      </c>
      <c r="F22" s="56">
        <v>3.69</v>
      </c>
      <c r="G22" s="56">
        <v>91</v>
      </c>
      <c r="H22" s="56" t="s">
        <v>12</v>
      </c>
      <c r="I22" s="51">
        <v>370000</v>
      </c>
      <c r="J22" s="52">
        <f t="shared" si="0"/>
        <v>1850000</v>
      </c>
      <c r="K22" s="18"/>
    </row>
    <row r="23" spans="1:11" s="8" customFormat="1" ht="18" customHeight="1">
      <c r="A23" s="13">
        <v>18</v>
      </c>
      <c r="B23" s="53" t="str">
        <f>RIGHT("a08050175",LEN("a08050175")-1)</f>
        <v>08050175</v>
      </c>
      <c r="C23" s="54" t="s">
        <v>36</v>
      </c>
      <c r="D23" s="53" t="str">
        <f>RIGHT("a17/05/1989",LEN("a17/05/1989")-1)</f>
        <v>17/05/1989</v>
      </c>
      <c r="E23" s="55" t="s">
        <v>33</v>
      </c>
      <c r="F23" s="56">
        <v>3.65</v>
      </c>
      <c r="G23" s="56">
        <v>97</v>
      </c>
      <c r="H23" s="56" t="s">
        <v>12</v>
      </c>
      <c r="I23" s="51">
        <v>370000</v>
      </c>
      <c r="J23" s="52">
        <f t="shared" si="0"/>
        <v>1850000</v>
      </c>
      <c r="K23" s="18"/>
    </row>
    <row r="24" spans="1:11" s="8" customFormat="1" ht="18" customHeight="1">
      <c r="A24" s="13">
        <v>19</v>
      </c>
      <c r="B24" s="53" t="str">
        <f>RIGHT("a08050153",LEN("a08050153")-1)</f>
        <v>08050153</v>
      </c>
      <c r="C24" s="54" t="s">
        <v>37</v>
      </c>
      <c r="D24" s="53" t="str">
        <f>RIGHT("a16/01/1990",LEN("a16/01/1990")-1)</f>
        <v>16/01/1990</v>
      </c>
      <c r="E24" s="55" t="s">
        <v>33</v>
      </c>
      <c r="F24" s="56">
        <v>3.61</v>
      </c>
      <c r="G24" s="56">
        <v>97</v>
      </c>
      <c r="H24" s="56" t="s">
        <v>12</v>
      </c>
      <c r="I24" s="51">
        <v>370000</v>
      </c>
      <c r="J24" s="52">
        <f t="shared" si="0"/>
        <v>1850000</v>
      </c>
      <c r="K24" s="18"/>
    </row>
    <row r="25" spans="1:11" s="8" customFormat="1" ht="18" customHeight="1">
      <c r="A25" s="13">
        <v>20</v>
      </c>
      <c r="B25" s="53" t="str">
        <f>RIGHT("a08050209",LEN("a08050209")-1)</f>
        <v>08050209</v>
      </c>
      <c r="C25" s="54" t="s">
        <v>38</v>
      </c>
      <c r="D25" s="53" t="str">
        <f>RIGHT("a06/06/1990",LEN("a06/06/1990")-1)</f>
        <v>06/06/1990</v>
      </c>
      <c r="E25" s="55" t="s">
        <v>33</v>
      </c>
      <c r="F25" s="56">
        <v>3.6</v>
      </c>
      <c r="G25" s="56">
        <v>97</v>
      </c>
      <c r="H25" s="56" t="s">
        <v>12</v>
      </c>
      <c r="I25" s="51">
        <v>370000</v>
      </c>
      <c r="J25" s="52">
        <f t="shared" si="0"/>
        <v>1850000</v>
      </c>
      <c r="K25" s="18"/>
    </row>
    <row r="26" spans="1:11" s="8" customFormat="1" ht="18" customHeight="1">
      <c r="A26" s="13">
        <v>21</v>
      </c>
      <c r="B26" s="53" t="str">
        <f>RIGHT("a08050197",LEN("a08050197")-1)</f>
        <v>08050197</v>
      </c>
      <c r="C26" s="54" t="s">
        <v>280</v>
      </c>
      <c r="D26" s="53" t="str">
        <f>RIGHT("a23/05/1990",LEN("a23/05/1990")-1)</f>
        <v>23/05/1990</v>
      </c>
      <c r="E26" s="55" t="s">
        <v>33</v>
      </c>
      <c r="F26" s="56">
        <v>3.58</v>
      </c>
      <c r="G26" s="56">
        <v>95</v>
      </c>
      <c r="H26" s="56" t="s">
        <v>11</v>
      </c>
      <c r="I26" s="51">
        <v>330000</v>
      </c>
      <c r="J26" s="52">
        <f t="shared" si="0"/>
        <v>1650000</v>
      </c>
      <c r="K26" s="18"/>
    </row>
    <row r="27" spans="1:11" s="8" customFormat="1" ht="18" customHeight="1">
      <c r="A27" s="13">
        <v>22</v>
      </c>
      <c r="B27" s="53" t="str">
        <f>RIGHT("a08050188",LEN("a08050188")-1)</f>
        <v>08050188</v>
      </c>
      <c r="C27" s="54" t="s">
        <v>39</v>
      </c>
      <c r="D27" s="53" t="str">
        <f>RIGHT("a11/08/1990",LEN("a11/08/1990")-1)</f>
        <v>11/08/1990</v>
      </c>
      <c r="E27" s="55" t="s">
        <v>33</v>
      </c>
      <c r="F27" s="56">
        <v>3.53</v>
      </c>
      <c r="G27" s="56">
        <v>89</v>
      </c>
      <c r="H27" s="56" t="s">
        <v>11</v>
      </c>
      <c r="I27" s="51">
        <v>330000</v>
      </c>
      <c r="J27" s="52">
        <f t="shared" si="0"/>
        <v>1650000</v>
      </c>
      <c r="K27" s="18"/>
    </row>
    <row r="28" spans="1:11" s="8" customFormat="1" ht="18" customHeight="1">
      <c r="A28" s="13">
        <v>23</v>
      </c>
      <c r="B28" s="53" t="str">
        <f>RIGHT("a08050218",LEN("a08050218")-1)</f>
        <v>08050218</v>
      </c>
      <c r="C28" s="54" t="s">
        <v>40</v>
      </c>
      <c r="D28" s="53" t="str">
        <f>RIGHT("a06/11/1990",LEN("a06/11/1990")-1)</f>
        <v>06/11/1990</v>
      </c>
      <c r="E28" s="55" t="s">
        <v>33</v>
      </c>
      <c r="F28" s="56">
        <v>3.53</v>
      </c>
      <c r="G28" s="56">
        <v>89</v>
      </c>
      <c r="H28" s="56" t="s">
        <v>11</v>
      </c>
      <c r="I28" s="51">
        <v>330000</v>
      </c>
      <c r="J28" s="52">
        <f t="shared" si="0"/>
        <v>1650000</v>
      </c>
      <c r="K28" s="18"/>
    </row>
    <row r="29" spans="1:11" s="8" customFormat="1" ht="18" customHeight="1">
      <c r="A29" s="13">
        <v>24</v>
      </c>
      <c r="B29" s="53" t="str">
        <f>RIGHT("a08050212",LEN("a08050212")-1)</f>
        <v>08050212</v>
      </c>
      <c r="C29" s="54" t="s">
        <v>281</v>
      </c>
      <c r="D29" s="53" t="str">
        <f>RIGHT("a13/12/1990",LEN("a13/12/1990")-1)</f>
        <v>13/12/1990</v>
      </c>
      <c r="E29" s="55" t="s">
        <v>33</v>
      </c>
      <c r="F29" s="56">
        <v>3.52</v>
      </c>
      <c r="G29" s="56">
        <v>95</v>
      </c>
      <c r="H29" s="56" t="s">
        <v>11</v>
      </c>
      <c r="I29" s="51">
        <v>330000</v>
      </c>
      <c r="J29" s="52">
        <f t="shared" si="0"/>
        <v>1650000</v>
      </c>
      <c r="K29" s="18"/>
    </row>
    <row r="30" spans="1:11" s="8" customFormat="1" ht="18" customHeight="1">
      <c r="A30" s="13">
        <v>25</v>
      </c>
      <c r="B30" s="53" t="str">
        <f>RIGHT("a08050351",LEN("a08050351")-1)</f>
        <v>08050351</v>
      </c>
      <c r="C30" s="54" t="s">
        <v>282</v>
      </c>
      <c r="D30" s="53" t="str">
        <f>RIGHT("a15/05/1990",LEN("a15/05/1990")-1)</f>
        <v>15/05/1990</v>
      </c>
      <c r="E30" s="55" t="s">
        <v>42</v>
      </c>
      <c r="F30" s="56">
        <v>3.78</v>
      </c>
      <c r="G30" s="56">
        <v>89</v>
      </c>
      <c r="H30" s="56" t="s">
        <v>11</v>
      </c>
      <c r="I30" s="51">
        <v>330000</v>
      </c>
      <c r="J30" s="52">
        <f t="shared" si="0"/>
        <v>1650000</v>
      </c>
      <c r="K30" s="18"/>
    </row>
    <row r="31" spans="1:11" s="8" customFormat="1" ht="18" customHeight="1">
      <c r="A31" s="13">
        <v>26</v>
      </c>
      <c r="B31" s="53" t="str">
        <f>RIGHT("a08050368",LEN("a08050368")-1)</f>
        <v>08050368</v>
      </c>
      <c r="C31" s="54" t="s">
        <v>41</v>
      </c>
      <c r="D31" s="53" t="str">
        <f>RIGHT("a30/12/1990",LEN("a30/12/1990")-1)</f>
        <v>30/12/1990</v>
      </c>
      <c r="E31" s="55" t="s">
        <v>42</v>
      </c>
      <c r="F31" s="56">
        <v>3.77</v>
      </c>
      <c r="G31" s="56">
        <v>87</v>
      </c>
      <c r="H31" s="56" t="s">
        <v>11</v>
      </c>
      <c r="I31" s="51">
        <v>330000</v>
      </c>
      <c r="J31" s="52">
        <f t="shared" si="0"/>
        <v>1650000</v>
      </c>
      <c r="K31" s="18"/>
    </row>
    <row r="32" spans="1:11" s="8" customFormat="1" ht="18" customHeight="1">
      <c r="A32" s="13">
        <v>27</v>
      </c>
      <c r="B32" s="53" t="str">
        <f>RIGHT("a08050344",LEN("a08050344")-1)</f>
        <v>08050344</v>
      </c>
      <c r="C32" s="54" t="s">
        <v>43</v>
      </c>
      <c r="D32" s="53" t="str">
        <f>RIGHT("a10/01/1990",LEN("a10/01/1990")-1)</f>
        <v>10/01/1990</v>
      </c>
      <c r="E32" s="55" t="s">
        <v>42</v>
      </c>
      <c r="F32" s="56">
        <v>3.75</v>
      </c>
      <c r="G32" s="56">
        <v>95</v>
      </c>
      <c r="H32" s="56" t="s">
        <v>12</v>
      </c>
      <c r="I32" s="51">
        <v>370000</v>
      </c>
      <c r="J32" s="52">
        <f t="shared" si="0"/>
        <v>1850000</v>
      </c>
      <c r="K32" s="18"/>
    </row>
    <row r="33" spans="1:11" s="8" customFormat="1" ht="18" customHeight="1">
      <c r="A33" s="13">
        <v>28</v>
      </c>
      <c r="B33" s="53" t="str">
        <f>RIGHT("a08050364",LEN("a08050364")-1)</f>
        <v>08050364</v>
      </c>
      <c r="C33" s="54" t="s">
        <v>44</v>
      </c>
      <c r="D33" s="53" t="str">
        <f>RIGHT("a14/07/1990",LEN("a14/07/1990")-1)</f>
        <v>14/07/1990</v>
      </c>
      <c r="E33" s="55" t="s">
        <v>42</v>
      </c>
      <c r="F33" s="56">
        <v>3.7</v>
      </c>
      <c r="G33" s="56">
        <v>87</v>
      </c>
      <c r="H33" s="56" t="s">
        <v>11</v>
      </c>
      <c r="I33" s="51">
        <v>330000</v>
      </c>
      <c r="J33" s="52">
        <f t="shared" si="0"/>
        <v>1650000</v>
      </c>
      <c r="K33" s="18"/>
    </row>
    <row r="34" spans="1:11" s="8" customFormat="1" ht="18" customHeight="1">
      <c r="A34" s="13">
        <v>29</v>
      </c>
      <c r="B34" s="53" t="str">
        <f>RIGHT("a08050365",LEN("a08050365")-1)</f>
        <v>08050365</v>
      </c>
      <c r="C34" s="54" t="s">
        <v>45</v>
      </c>
      <c r="D34" s="53" t="str">
        <f>RIGHT("a06/07/1990",LEN("a06/07/1990")-1)</f>
        <v>06/07/1990</v>
      </c>
      <c r="E34" s="55" t="s">
        <v>42</v>
      </c>
      <c r="F34" s="56">
        <v>3.7</v>
      </c>
      <c r="G34" s="56">
        <v>87</v>
      </c>
      <c r="H34" s="56" t="s">
        <v>11</v>
      </c>
      <c r="I34" s="51">
        <v>330000</v>
      </c>
      <c r="J34" s="52">
        <f t="shared" si="0"/>
        <v>1650000</v>
      </c>
      <c r="K34" s="18"/>
    </row>
    <row r="35" spans="1:11" s="8" customFormat="1" ht="18" customHeight="1">
      <c r="A35" s="13">
        <v>30</v>
      </c>
      <c r="B35" s="53" t="str">
        <f>RIGHT("a08050384",LEN("a08050384")-1)</f>
        <v>08050384</v>
      </c>
      <c r="C35" s="54" t="s">
        <v>46</v>
      </c>
      <c r="D35" s="53" t="str">
        <f>RIGHT("a23/12/1990",LEN("a23/12/1990")-1)</f>
        <v>23/12/1990</v>
      </c>
      <c r="E35" s="55" t="s">
        <v>42</v>
      </c>
      <c r="F35" s="56">
        <v>3.63</v>
      </c>
      <c r="G35" s="56">
        <v>79</v>
      </c>
      <c r="H35" s="56" t="s">
        <v>10</v>
      </c>
      <c r="I35" s="51">
        <v>290000</v>
      </c>
      <c r="J35" s="52">
        <f t="shared" si="0"/>
        <v>1450000</v>
      </c>
      <c r="K35" s="18"/>
    </row>
    <row r="36" spans="1:11" s="8" customFormat="1" ht="18" customHeight="1">
      <c r="A36" s="13">
        <v>31</v>
      </c>
      <c r="B36" s="63" t="s">
        <v>294</v>
      </c>
      <c r="C36" s="61" t="s">
        <v>47</v>
      </c>
      <c r="D36" s="64">
        <v>33026</v>
      </c>
      <c r="E36" s="55" t="s">
        <v>42</v>
      </c>
      <c r="F36" s="62">
        <v>3.62</v>
      </c>
      <c r="G36" s="62">
        <v>97</v>
      </c>
      <c r="H36" s="62" t="s">
        <v>12</v>
      </c>
      <c r="I36" s="51">
        <v>370000</v>
      </c>
      <c r="J36" s="52">
        <f t="shared" si="0"/>
        <v>1850000</v>
      </c>
      <c r="K36" s="18"/>
    </row>
    <row r="37" spans="1:11" s="8" customFormat="1" ht="18" customHeight="1">
      <c r="A37" s="13">
        <v>32</v>
      </c>
      <c r="B37" s="47" t="str">
        <f>RIGHT("a08050306",LEN("a08050306")-1)</f>
        <v>08050306</v>
      </c>
      <c r="C37" s="48" t="s">
        <v>48</v>
      </c>
      <c r="D37" s="47" t="str">
        <f>RIGHT("a26/11/1989",LEN("a26/11/1989")-1)</f>
        <v>26/11/1989</v>
      </c>
      <c r="E37" s="49" t="s">
        <v>49</v>
      </c>
      <c r="F37" s="50">
        <v>3.73</v>
      </c>
      <c r="G37" s="50">
        <v>89</v>
      </c>
      <c r="H37" s="50" t="s">
        <v>11</v>
      </c>
      <c r="I37" s="51">
        <v>330000</v>
      </c>
      <c r="J37" s="52">
        <f t="shared" si="0"/>
        <v>1650000</v>
      </c>
      <c r="K37" s="18"/>
    </row>
    <row r="38" spans="1:11" s="8" customFormat="1" ht="18" customHeight="1">
      <c r="A38" s="13">
        <v>33</v>
      </c>
      <c r="B38" s="47" t="str">
        <f>RIGHT("a08050322",LEN("a08050322")-1)</f>
        <v>08050322</v>
      </c>
      <c r="C38" s="48" t="s">
        <v>50</v>
      </c>
      <c r="D38" s="47" t="str">
        <f>RIGHT("a18/09/1990",LEN("a18/09/1990")-1)</f>
        <v>18/09/1990</v>
      </c>
      <c r="E38" s="49" t="s">
        <v>49</v>
      </c>
      <c r="F38" s="50">
        <v>3.5</v>
      </c>
      <c r="G38" s="50">
        <v>79</v>
      </c>
      <c r="H38" s="50" t="s">
        <v>10</v>
      </c>
      <c r="I38" s="51">
        <v>290000</v>
      </c>
      <c r="J38" s="52">
        <f t="shared" si="0"/>
        <v>1450000</v>
      </c>
      <c r="K38" s="18"/>
    </row>
    <row r="39" spans="1:11" s="8" customFormat="1" ht="18" customHeight="1">
      <c r="A39" s="13">
        <v>34</v>
      </c>
      <c r="B39" s="47" t="str">
        <f>RIGHT("a08050323",LEN("a08050323")-1)</f>
        <v>08050323</v>
      </c>
      <c r="C39" s="48" t="s">
        <v>51</v>
      </c>
      <c r="D39" s="47" t="str">
        <f>RIGHT("a25/10/1990",LEN("a25/10/1990")-1)</f>
        <v>25/10/1990</v>
      </c>
      <c r="E39" s="49" t="s">
        <v>49</v>
      </c>
      <c r="F39" s="50">
        <v>3.49</v>
      </c>
      <c r="G39" s="50">
        <v>77</v>
      </c>
      <c r="H39" s="50" t="s">
        <v>10</v>
      </c>
      <c r="I39" s="51">
        <v>290000</v>
      </c>
      <c r="J39" s="52">
        <f aca="true" t="shared" si="1" ref="J39:J70">I39*5</f>
        <v>1450000</v>
      </c>
      <c r="K39" s="18"/>
    </row>
    <row r="40" spans="1:11" s="8" customFormat="1" ht="18" customHeight="1">
      <c r="A40" s="13">
        <v>35</v>
      </c>
      <c r="B40" s="47" t="str">
        <f>RIGHT("a08050314",LEN("a08050314")-1)</f>
        <v>08050314</v>
      </c>
      <c r="C40" s="48" t="s">
        <v>52</v>
      </c>
      <c r="D40" s="47" t="str">
        <f>RIGHT("a27/07/1990",LEN("a27/07/1990")-1)</f>
        <v>27/07/1990</v>
      </c>
      <c r="E40" s="49" t="s">
        <v>49</v>
      </c>
      <c r="F40" s="50">
        <v>3.44</v>
      </c>
      <c r="G40" s="50">
        <v>74</v>
      </c>
      <c r="H40" s="50" t="s">
        <v>10</v>
      </c>
      <c r="I40" s="51">
        <v>290000</v>
      </c>
      <c r="J40" s="52">
        <f t="shared" si="1"/>
        <v>1450000</v>
      </c>
      <c r="K40" s="18"/>
    </row>
    <row r="41" spans="1:11" s="8" customFormat="1" ht="18" customHeight="1">
      <c r="A41" s="13">
        <v>36</v>
      </c>
      <c r="B41" s="47" t="str">
        <f>RIGHT("a08050280",LEN("a08050280")-1)</f>
        <v>08050280</v>
      </c>
      <c r="C41" s="48" t="s">
        <v>53</v>
      </c>
      <c r="D41" s="47" t="str">
        <f>RIGHT("a25/12/1990",LEN("a25/12/1990")-1)</f>
        <v>25/12/1990</v>
      </c>
      <c r="E41" s="49" t="s">
        <v>49</v>
      </c>
      <c r="F41" s="50">
        <v>3.43</v>
      </c>
      <c r="G41" s="50">
        <v>89</v>
      </c>
      <c r="H41" s="50" t="s">
        <v>11</v>
      </c>
      <c r="I41" s="51">
        <v>330000</v>
      </c>
      <c r="J41" s="52">
        <f t="shared" si="1"/>
        <v>1650000</v>
      </c>
      <c r="K41" s="18"/>
    </row>
    <row r="42" spans="1:11" s="8" customFormat="1" ht="18" customHeight="1">
      <c r="A42" s="13">
        <v>37</v>
      </c>
      <c r="B42" s="47" t="str">
        <f>RIGHT("a08050259",LEN("a08050259")-1)</f>
        <v>08050259</v>
      </c>
      <c r="C42" s="48" t="s">
        <v>54</v>
      </c>
      <c r="D42" s="47" t="str">
        <f>RIGHT("a14/09/1990",LEN("a14/09/1990")-1)</f>
        <v>14/09/1990</v>
      </c>
      <c r="E42" s="49" t="s">
        <v>49</v>
      </c>
      <c r="F42" s="50">
        <v>3.43</v>
      </c>
      <c r="G42" s="50">
        <v>79</v>
      </c>
      <c r="H42" s="50" t="s">
        <v>10</v>
      </c>
      <c r="I42" s="51">
        <v>290000</v>
      </c>
      <c r="J42" s="52">
        <f t="shared" si="1"/>
        <v>1450000</v>
      </c>
      <c r="K42" s="18"/>
    </row>
    <row r="43" spans="1:11" s="8" customFormat="1" ht="18" customHeight="1">
      <c r="A43" s="13">
        <v>38</v>
      </c>
      <c r="B43" s="47" t="str">
        <f>RIGHT("a08050273",LEN("a08050273")-1)</f>
        <v>08050273</v>
      </c>
      <c r="C43" s="48" t="s">
        <v>55</v>
      </c>
      <c r="D43" s="47" t="str">
        <f>RIGHT("a22/09/1990",LEN("a22/09/1990")-1)</f>
        <v>22/09/1990</v>
      </c>
      <c r="E43" s="49" t="s">
        <v>49</v>
      </c>
      <c r="F43" s="50">
        <v>3.42</v>
      </c>
      <c r="G43" s="50">
        <v>89</v>
      </c>
      <c r="H43" s="50" t="s">
        <v>11</v>
      </c>
      <c r="I43" s="51">
        <v>330000</v>
      </c>
      <c r="J43" s="52">
        <f t="shared" si="1"/>
        <v>1650000</v>
      </c>
      <c r="K43" s="18"/>
    </row>
    <row r="44" spans="1:11" s="8" customFormat="1" ht="18" customHeight="1">
      <c r="A44" s="13">
        <v>39</v>
      </c>
      <c r="B44" s="47" t="str">
        <f>RIGHT("a08050283",LEN("a08050283")-1)</f>
        <v>08050283</v>
      </c>
      <c r="C44" s="48" t="s">
        <v>56</v>
      </c>
      <c r="D44" s="47" t="str">
        <f>RIGHT("a06/08/1989",LEN("a06/08/1989")-1)</f>
        <v>06/08/1989</v>
      </c>
      <c r="E44" s="49" t="s">
        <v>49</v>
      </c>
      <c r="F44" s="50">
        <v>3.42</v>
      </c>
      <c r="G44" s="50">
        <v>77</v>
      </c>
      <c r="H44" s="50" t="s">
        <v>10</v>
      </c>
      <c r="I44" s="51">
        <v>290000</v>
      </c>
      <c r="J44" s="52">
        <f t="shared" si="1"/>
        <v>1450000</v>
      </c>
      <c r="K44" s="18"/>
    </row>
    <row r="45" spans="1:11" s="8" customFormat="1" ht="18" customHeight="1">
      <c r="A45" s="13">
        <v>40</v>
      </c>
      <c r="B45" s="47" t="str">
        <f>RIGHT("a08050251",LEN("a08050251")-1)</f>
        <v>08050251</v>
      </c>
      <c r="C45" s="48" t="s">
        <v>57</v>
      </c>
      <c r="D45" s="47" t="str">
        <f>RIGHT("a12/04/1990",LEN("a12/04/1990")-1)</f>
        <v>12/04/1990</v>
      </c>
      <c r="E45" s="49" t="s">
        <v>49</v>
      </c>
      <c r="F45" s="50">
        <v>3.4</v>
      </c>
      <c r="G45" s="50">
        <v>79</v>
      </c>
      <c r="H45" s="50" t="s">
        <v>10</v>
      </c>
      <c r="I45" s="51">
        <v>290000</v>
      </c>
      <c r="J45" s="52">
        <f t="shared" si="1"/>
        <v>1450000</v>
      </c>
      <c r="K45" s="18"/>
    </row>
    <row r="46" spans="1:11" s="23" customFormat="1" ht="18" customHeight="1">
      <c r="A46" s="13">
        <v>41</v>
      </c>
      <c r="B46" s="47" t="str">
        <f>RIGHT("a08050239",LEN("a08050239")-1)</f>
        <v>08050239</v>
      </c>
      <c r="C46" s="48" t="s">
        <v>58</v>
      </c>
      <c r="D46" s="47" t="str">
        <f>RIGHT("a12/06/1990",LEN("a12/06/1990")-1)</f>
        <v>12/06/1990</v>
      </c>
      <c r="E46" s="49" t="s">
        <v>49</v>
      </c>
      <c r="F46" s="50">
        <v>3.4</v>
      </c>
      <c r="G46" s="50">
        <v>77</v>
      </c>
      <c r="H46" s="50" t="s">
        <v>10</v>
      </c>
      <c r="I46" s="51">
        <v>290000</v>
      </c>
      <c r="J46" s="52">
        <f t="shared" si="1"/>
        <v>1450000</v>
      </c>
      <c r="K46" s="18"/>
    </row>
    <row r="47" spans="1:11" s="8" customFormat="1" ht="18" customHeight="1">
      <c r="A47" s="13">
        <v>42</v>
      </c>
      <c r="B47" s="47" t="str">
        <f>RIGHT("a08050305",LEN("a08050305")-1)</f>
        <v>08050305</v>
      </c>
      <c r="C47" s="48" t="s">
        <v>59</v>
      </c>
      <c r="D47" s="47" t="str">
        <f>RIGHT("a07/07/1990",LEN("a07/07/1990")-1)</f>
        <v>07/07/1990</v>
      </c>
      <c r="E47" s="49" t="s">
        <v>49</v>
      </c>
      <c r="F47" s="50">
        <v>3.37</v>
      </c>
      <c r="G47" s="50">
        <v>77</v>
      </c>
      <c r="H47" s="50" t="s">
        <v>10</v>
      </c>
      <c r="I47" s="51">
        <v>290000</v>
      </c>
      <c r="J47" s="52">
        <f t="shared" si="1"/>
        <v>1450000</v>
      </c>
      <c r="K47" s="18"/>
    </row>
    <row r="48" spans="1:11" s="8" customFormat="1" ht="18" customHeight="1">
      <c r="A48" s="13">
        <v>43</v>
      </c>
      <c r="B48" s="47" t="str">
        <f>RIGHT("a08050293",LEN("a08050293")-1)</f>
        <v>08050293</v>
      </c>
      <c r="C48" s="48" t="s">
        <v>60</v>
      </c>
      <c r="D48" s="47" t="str">
        <f>RIGHT("a27/02/1990",LEN("a27/02/1990")-1)</f>
        <v>27/02/1990</v>
      </c>
      <c r="E48" s="49" t="s">
        <v>49</v>
      </c>
      <c r="F48" s="50">
        <v>3.36</v>
      </c>
      <c r="G48" s="50">
        <v>89</v>
      </c>
      <c r="H48" s="50" t="s">
        <v>11</v>
      </c>
      <c r="I48" s="51">
        <v>330000</v>
      </c>
      <c r="J48" s="52">
        <f t="shared" si="1"/>
        <v>1650000</v>
      </c>
      <c r="K48" s="18"/>
    </row>
    <row r="49" spans="1:11" s="8" customFormat="1" ht="18" customHeight="1">
      <c r="A49" s="13">
        <v>44</v>
      </c>
      <c r="B49" s="47" t="str">
        <f>RIGHT("a08050329",LEN("a08050329")-1)</f>
        <v>08050329</v>
      </c>
      <c r="C49" s="48" t="s">
        <v>61</v>
      </c>
      <c r="D49" s="47" t="str">
        <f>RIGHT("a02/12/1989",LEN("a02/12/1989")-1)</f>
        <v>02/12/1989</v>
      </c>
      <c r="E49" s="49" t="s">
        <v>49</v>
      </c>
      <c r="F49" s="50">
        <v>3.36</v>
      </c>
      <c r="G49" s="50">
        <v>79</v>
      </c>
      <c r="H49" s="50" t="s">
        <v>10</v>
      </c>
      <c r="I49" s="51">
        <v>290000</v>
      </c>
      <c r="J49" s="52">
        <f t="shared" si="1"/>
        <v>1450000</v>
      </c>
      <c r="K49" s="18"/>
    </row>
    <row r="50" spans="1:11" s="8" customFormat="1" ht="18" customHeight="1">
      <c r="A50" s="13">
        <v>45</v>
      </c>
      <c r="B50" s="47" t="str">
        <f>RIGHT("a08050252",LEN("a08050252")-1)</f>
        <v>08050252</v>
      </c>
      <c r="C50" s="48" t="s">
        <v>62</v>
      </c>
      <c r="D50" s="47" t="str">
        <f>RIGHT("a10/03/1989",LEN("a10/03/1989")-1)</f>
        <v>10/03/1989</v>
      </c>
      <c r="E50" s="49" t="s">
        <v>49</v>
      </c>
      <c r="F50" s="50">
        <v>3.32</v>
      </c>
      <c r="G50" s="50">
        <v>79</v>
      </c>
      <c r="H50" s="50" t="s">
        <v>10</v>
      </c>
      <c r="I50" s="51">
        <v>290000</v>
      </c>
      <c r="J50" s="52">
        <f t="shared" si="1"/>
        <v>1450000</v>
      </c>
      <c r="K50" s="18"/>
    </row>
    <row r="51" spans="1:11" s="8" customFormat="1" ht="18" customHeight="1">
      <c r="A51" s="13">
        <v>46</v>
      </c>
      <c r="B51" s="47" t="str">
        <f>RIGHT("a08050279",LEN("a08050279")-1)</f>
        <v>08050279</v>
      </c>
      <c r="C51" s="48" t="s">
        <v>63</v>
      </c>
      <c r="D51" s="47" t="str">
        <f>RIGHT("a16/12/1989",LEN("a16/12/1989")-1)</f>
        <v>16/12/1989</v>
      </c>
      <c r="E51" s="49" t="s">
        <v>49</v>
      </c>
      <c r="F51" s="50">
        <v>3.32</v>
      </c>
      <c r="G51" s="50">
        <v>77</v>
      </c>
      <c r="H51" s="50" t="s">
        <v>10</v>
      </c>
      <c r="I51" s="51">
        <v>290000</v>
      </c>
      <c r="J51" s="52">
        <f t="shared" si="1"/>
        <v>1450000</v>
      </c>
      <c r="K51" s="18"/>
    </row>
    <row r="52" spans="1:11" s="8" customFormat="1" ht="18" customHeight="1">
      <c r="A52" s="13">
        <v>47</v>
      </c>
      <c r="B52" s="47" t="str">
        <f>RIGHT("a09050082",LEN("a09050082")-1)</f>
        <v>09050082</v>
      </c>
      <c r="C52" s="48" t="s">
        <v>64</v>
      </c>
      <c r="D52" s="47" t="str">
        <f>RIGHT("a10/06/1991",LEN("a10/06/1991")-1)</f>
        <v>10/06/1991</v>
      </c>
      <c r="E52" s="49" t="s">
        <v>65</v>
      </c>
      <c r="F52" s="50">
        <v>3.87</v>
      </c>
      <c r="G52" s="50">
        <v>87</v>
      </c>
      <c r="H52" s="50" t="s">
        <v>11</v>
      </c>
      <c r="I52" s="51">
        <v>330000</v>
      </c>
      <c r="J52" s="52">
        <f t="shared" si="1"/>
        <v>1650000</v>
      </c>
      <c r="K52" s="18"/>
    </row>
    <row r="53" spans="1:11" s="8" customFormat="1" ht="18" customHeight="1">
      <c r="A53" s="13">
        <v>48</v>
      </c>
      <c r="B53" s="47" t="str">
        <f>RIGHT("a09050080",LEN("a09050080")-1)</f>
        <v>09050080</v>
      </c>
      <c r="C53" s="48" t="s">
        <v>66</v>
      </c>
      <c r="D53" s="47" t="str">
        <f>RIGHT("a28/11/1991",LEN("a28/11/1991")-1)</f>
        <v>28/11/1991</v>
      </c>
      <c r="E53" s="49" t="s">
        <v>65</v>
      </c>
      <c r="F53" s="50">
        <v>3.81</v>
      </c>
      <c r="G53" s="50">
        <v>87</v>
      </c>
      <c r="H53" s="50" t="s">
        <v>11</v>
      </c>
      <c r="I53" s="51">
        <v>330000</v>
      </c>
      <c r="J53" s="52">
        <f t="shared" si="1"/>
        <v>1650000</v>
      </c>
      <c r="K53" s="18"/>
    </row>
    <row r="54" spans="1:11" s="8" customFormat="1" ht="18" customHeight="1">
      <c r="A54" s="13">
        <v>49</v>
      </c>
      <c r="B54" s="47" t="str">
        <f>RIGHT("a09050120",LEN("a09050120")-1)</f>
        <v>09050120</v>
      </c>
      <c r="C54" s="48" t="s">
        <v>67</v>
      </c>
      <c r="D54" s="47" t="str">
        <f>RIGHT("a09/12/1991",LEN("a09/12/1991")-1)</f>
        <v>09/12/1991</v>
      </c>
      <c r="E54" s="49" t="s">
        <v>65</v>
      </c>
      <c r="F54" s="50">
        <v>3.77</v>
      </c>
      <c r="G54" s="50">
        <v>81</v>
      </c>
      <c r="H54" s="50" t="s">
        <v>11</v>
      </c>
      <c r="I54" s="51">
        <v>330000</v>
      </c>
      <c r="J54" s="52">
        <f t="shared" si="1"/>
        <v>1650000</v>
      </c>
      <c r="K54" s="18"/>
    </row>
    <row r="55" spans="1:11" s="8" customFormat="1" ht="18" customHeight="1">
      <c r="A55" s="13">
        <v>50</v>
      </c>
      <c r="B55" s="47" t="str">
        <f>RIGHT("a09050035",LEN("a09050035")-1)</f>
        <v>09050035</v>
      </c>
      <c r="C55" s="48" t="s">
        <v>68</v>
      </c>
      <c r="D55" s="47" t="str">
        <f>RIGHT("a04/06/1991",LEN("a04/06/1991")-1)</f>
        <v>04/06/1991</v>
      </c>
      <c r="E55" s="49" t="s">
        <v>65</v>
      </c>
      <c r="F55" s="50">
        <v>3.74</v>
      </c>
      <c r="G55" s="50">
        <v>87</v>
      </c>
      <c r="H55" s="50" t="s">
        <v>11</v>
      </c>
      <c r="I55" s="51">
        <v>330000</v>
      </c>
      <c r="J55" s="52">
        <f t="shared" si="1"/>
        <v>1650000</v>
      </c>
      <c r="K55" s="18"/>
    </row>
    <row r="56" spans="1:11" s="8" customFormat="1" ht="18" customHeight="1">
      <c r="A56" s="13">
        <v>51</v>
      </c>
      <c r="B56" s="47" t="str">
        <f>RIGHT("a09050042",LEN("a09050042")-1)</f>
        <v>09050042</v>
      </c>
      <c r="C56" s="48" t="s">
        <v>69</v>
      </c>
      <c r="D56" s="47" t="str">
        <f>RIGHT("a30/11/1990",LEN("a30/11/1990")-1)</f>
        <v>30/11/1990</v>
      </c>
      <c r="E56" s="49" t="s">
        <v>65</v>
      </c>
      <c r="F56" s="50">
        <v>3.7</v>
      </c>
      <c r="G56" s="50">
        <v>81</v>
      </c>
      <c r="H56" s="50" t="s">
        <v>11</v>
      </c>
      <c r="I56" s="51">
        <v>330000</v>
      </c>
      <c r="J56" s="52">
        <f t="shared" si="1"/>
        <v>1650000</v>
      </c>
      <c r="K56" s="18"/>
    </row>
    <row r="57" spans="1:11" s="8" customFormat="1" ht="18" customHeight="1">
      <c r="A57" s="13">
        <v>52</v>
      </c>
      <c r="B57" s="47" t="str">
        <f>RIGHT("a09050030",LEN("a09050030")-1)</f>
        <v>09050030</v>
      </c>
      <c r="C57" s="48" t="s">
        <v>70</v>
      </c>
      <c r="D57" s="47" t="str">
        <f>RIGHT("a25/10/1991",LEN("a25/10/1991")-1)</f>
        <v>25/10/1991</v>
      </c>
      <c r="E57" s="49" t="s">
        <v>65</v>
      </c>
      <c r="F57" s="50">
        <v>3.69</v>
      </c>
      <c r="G57" s="50">
        <v>97</v>
      </c>
      <c r="H57" s="50" t="s">
        <v>12</v>
      </c>
      <c r="I57" s="51">
        <v>370000</v>
      </c>
      <c r="J57" s="52">
        <f t="shared" si="1"/>
        <v>1850000</v>
      </c>
      <c r="K57" s="18"/>
    </row>
    <row r="58" spans="1:11" s="8" customFormat="1" ht="18" customHeight="1">
      <c r="A58" s="13">
        <v>53</v>
      </c>
      <c r="B58" s="47" t="str">
        <f>RIGHT("a09050023",LEN("a09050023")-1)</f>
        <v>09050023</v>
      </c>
      <c r="C58" s="48" t="s">
        <v>71</v>
      </c>
      <c r="D58" s="47" t="str">
        <f>RIGHT("a22/06/1991",LEN("a22/06/1991")-1)</f>
        <v>22/06/1991</v>
      </c>
      <c r="E58" s="49" t="s">
        <v>65</v>
      </c>
      <c r="F58" s="50">
        <v>3.68</v>
      </c>
      <c r="G58" s="50">
        <v>91</v>
      </c>
      <c r="H58" s="50" t="s">
        <v>12</v>
      </c>
      <c r="I58" s="51">
        <v>370000</v>
      </c>
      <c r="J58" s="52">
        <f t="shared" si="1"/>
        <v>1850000</v>
      </c>
      <c r="K58" s="18"/>
    </row>
    <row r="59" spans="1:11" s="8" customFormat="1" ht="18" customHeight="1">
      <c r="A59" s="13">
        <v>54</v>
      </c>
      <c r="B59" s="47" t="str">
        <f>RIGHT("a09050031",LEN("a09050031")-1)</f>
        <v>09050031</v>
      </c>
      <c r="C59" s="48" t="s">
        <v>72</v>
      </c>
      <c r="D59" s="47" t="str">
        <f>RIGHT("a07/09/1991",LEN("a07/09/1991")-1)</f>
        <v>07/09/1991</v>
      </c>
      <c r="E59" s="49" t="s">
        <v>65</v>
      </c>
      <c r="F59" s="50">
        <v>3.68</v>
      </c>
      <c r="G59" s="50">
        <v>87</v>
      </c>
      <c r="H59" s="50" t="s">
        <v>11</v>
      </c>
      <c r="I59" s="51">
        <v>330000</v>
      </c>
      <c r="J59" s="52">
        <f t="shared" si="1"/>
        <v>1650000</v>
      </c>
      <c r="K59" s="18"/>
    </row>
    <row r="60" spans="1:11" s="8" customFormat="1" ht="18" customHeight="1">
      <c r="A60" s="13">
        <v>55</v>
      </c>
      <c r="B60" s="47" t="str">
        <f>RIGHT("a09050103",LEN("a09050103")-1)</f>
        <v>09050103</v>
      </c>
      <c r="C60" s="48" t="s">
        <v>73</v>
      </c>
      <c r="D60" s="47" t="str">
        <f>RIGHT("a10/05/1991",LEN("a10/05/1991")-1)</f>
        <v>10/05/1991</v>
      </c>
      <c r="E60" s="49" t="s">
        <v>65</v>
      </c>
      <c r="F60" s="50">
        <v>3.63</v>
      </c>
      <c r="G60" s="50">
        <v>97</v>
      </c>
      <c r="H60" s="50" t="s">
        <v>12</v>
      </c>
      <c r="I60" s="51">
        <v>370000</v>
      </c>
      <c r="J60" s="52">
        <f t="shared" si="1"/>
        <v>1850000</v>
      </c>
      <c r="K60" s="18"/>
    </row>
    <row r="61" spans="1:11" s="8" customFormat="1" ht="18" customHeight="1">
      <c r="A61" s="13">
        <v>56</v>
      </c>
      <c r="B61" s="47" t="str">
        <f>RIGHT("a09050110",LEN("a09050110")-1)</f>
        <v>09050110</v>
      </c>
      <c r="C61" s="48" t="s">
        <v>74</v>
      </c>
      <c r="D61" s="47" t="str">
        <f>RIGHT("a12/08/1991",LEN("a12/08/1991")-1)</f>
        <v>12/08/1991</v>
      </c>
      <c r="E61" s="49" t="s">
        <v>65</v>
      </c>
      <c r="F61" s="50">
        <v>3.61</v>
      </c>
      <c r="G61" s="50">
        <v>97</v>
      </c>
      <c r="H61" s="50" t="s">
        <v>12</v>
      </c>
      <c r="I61" s="51">
        <v>370000</v>
      </c>
      <c r="J61" s="52">
        <f t="shared" si="1"/>
        <v>1850000</v>
      </c>
      <c r="K61" s="18"/>
    </row>
    <row r="62" spans="1:11" s="8" customFormat="1" ht="18" customHeight="1">
      <c r="A62" s="13">
        <v>57</v>
      </c>
      <c r="B62" s="47" t="str">
        <f>RIGHT("a09050107",LEN("a09050107")-1)</f>
        <v>09050107</v>
      </c>
      <c r="C62" s="48" t="s">
        <v>75</v>
      </c>
      <c r="D62" s="47" t="str">
        <f>RIGHT("a10/02/1991",LEN("a10/02/1991")-1)</f>
        <v>10/02/1991</v>
      </c>
      <c r="E62" s="49" t="s">
        <v>65</v>
      </c>
      <c r="F62" s="50">
        <v>3.61</v>
      </c>
      <c r="G62" s="50">
        <v>81</v>
      </c>
      <c r="H62" s="50" t="s">
        <v>11</v>
      </c>
      <c r="I62" s="51">
        <v>330000</v>
      </c>
      <c r="J62" s="52">
        <f t="shared" si="1"/>
        <v>1650000</v>
      </c>
      <c r="K62" s="18"/>
    </row>
    <row r="63" spans="1:11" s="8" customFormat="1" ht="18" customHeight="1">
      <c r="A63" s="13">
        <v>58</v>
      </c>
      <c r="B63" s="47" t="str">
        <f>RIGHT("a09050067",LEN("a09050067")-1)</f>
        <v>09050067</v>
      </c>
      <c r="C63" s="48" t="s">
        <v>76</v>
      </c>
      <c r="D63" s="47" t="str">
        <f>RIGHT("a29/10/1991",LEN("a29/10/1991")-1)</f>
        <v>29/10/1991</v>
      </c>
      <c r="E63" s="49" t="s">
        <v>65</v>
      </c>
      <c r="F63" s="50">
        <v>3.6</v>
      </c>
      <c r="G63" s="50">
        <v>81</v>
      </c>
      <c r="H63" s="50" t="s">
        <v>11</v>
      </c>
      <c r="I63" s="51">
        <v>330000</v>
      </c>
      <c r="J63" s="52">
        <f t="shared" si="1"/>
        <v>1650000</v>
      </c>
      <c r="K63" s="18"/>
    </row>
    <row r="64" spans="1:11" s="8" customFormat="1" ht="18" customHeight="1">
      <c r="A64" s="13">
        <v>59</v>
      </c>
      <c r="B64" s="47" t="str">
        <f>RIGHT("a09050071",LEN("a09050071")-1)</f>
        <v>09050071</v>
      </c>
      <c r="C64" s="48" t="s">
        <v>77</v>
      </c>
      <c r="D64" s="47" t="str">
        <f>RIGHT("a04/02/1991",LEN("a04/02/1991")-1)</f>
        <v>04/02/1991</v>
      </c>
      <c r="E64" s="49" t="s">
        <v>65</v>
      </c>
      <c r="F64" s="50">
        <v>3.53</v>
      </c>
      <c r="G64" s="50">
        <v>85</v>
      </c>
      <c r="H64" s="50" t="s">
        <v>11</v>
      </c>
      <c r="I64" s="51">
        <v>330000</v>
      </c>
      <c r="J64" s="52">
        <f t="shared" si="1"/>
        <v>1650000</v>
      </c>
      <c r="K64" s="18"/>
    </row>
    <row r="65" spans="1:11" s="8" customFormat="1" ht="18" customHeight="1">
      <c r="A65" s="13">
        <v>60</v>
      </c>
      <c r="B65" s="47" t="str">
        <f>RIGHT("a09050075",LEN("a09050075")-1)</f>
        <v>09050075</v>
      </c>
      <c r="C65" s="48" t="s">
        <v>78</v>
      </c>
      <c r="D65" s="47" t="str">
        <f>RIGHT("a13/05/1991",LEN("a13/05/1991")-1)</f>
        <v>13/05/1991</v>
      </c>
      <c r="E65" s="49" t="s">
        <v>65</v>
      </c>
      <c r="F65" s="50">
        <v>3.5</v>
      </c>
      <c r="G65" s="50">
        <v>85</v>
      </c>
      <c r="H65" s="50" t="s">
        <v>11</v>
      </c>
      <c r="I65" s="51">
        <v>330000</v>
      </c>
      <c r="J65" s="52">
        <f t="shared" si="1"/>
        <v>1650000</v>
      </c>
      <c r="K65" s="18"/>
    </row>
    <row r="66" spans="1:11" s="8" customFormat="1" ht="18" customHeight="1">
      <c r="A66" s="13">
        <v>61</v>
      </c>
      <c r="B66" s="57" t="s">
        <v>301</v>
      </c>
      <c r="C66" s="48" t="s">
        <v>302</v>
      </c>
      <c r="D66" s="58">
        <v>33584</v>
      </c>
      <c r="E66" s="49" t="s">
        <v>65</v>
      </c>
      <c r="F66" s="50">
        <v>3.53</v>
      </c>
      <c r="G66" s="50">
        <v>85</v>
      </c>
      <c r="H66" s="50" t="s">
        <v>11</v>
      </c>
      <c r="I66" s="51">
        <v>330000</v>
      </c>
      <c r="J66" s="52">
        <f t="shared" si="1"/>
        <v>1650000</v>
      </c>
      <c r="K66" s="18"/>
    </row>
    <row r="67" spans="1:11" s="8" customFormat="1" ht="18" customHeight="1">
      <c r="A67" s="13">
        <v>62</v>
      </c>
      <c r="B67" s="53" t="str">
        <f>RIGHT("a09050469",LEN("a09050469")-1)</f>
        <v>09050469</v>
      </c>
      <c r="C67" s="54" t="s">
        <v>79</v>
      </c>
      <c r="D67" s="53" t="str">
        <f>RIGHT("a01/08/1991",LEN("a01/08/1991")-1)</f>
        <v>01/08/1991</v>
      </c>
      <c r="E67" s="55" t="s">
        <v>80</v>
      </c>
      <c r="F67" s="56">
        <v>3.66</v>
      </c>
      <c r="G67" s="56">
        <v>91</v>
      </c>
      <c r="H67" s="56" t="s">
        <v>12</v>
      </c>
      <c r="I67" s="51">
        <v>370000</v>
      </c>
      <c r="J67" s="52">
        <f t="shared" si="1"/>
        <v>1850000</v>
      </c>
      <c r="K67" s="18"/>
    </row>
    <row r="68" spans="1:11" s="8" customFormat="1" ht="18" customHeight="1">
      <c r="A68" s="13">
        <v>63</v>
      </c>
      <c r="B68" s="53" t="str">
        <f>RIGHT("a09050449",LEN("a09050449")-1)</f>
        <v>09050449</v>
      </c>
      <c r="C68" s="54" t="s">
        <v>275</v>
      </c>
      <c r="D68" s="53" t="str">
        <f>RIGHT("a26/01/1991",LEN("a26/01/1991")-1)</f>
        <v>26/01/1991</v>
      </c>
      <c r="E68" s="55" t="s">
        <v>80</v>
      </c>
      <c r="F68" s="56">
        <v>3.66</v>
      </c>
      <c r="G68" s="56">
        <v>81</v>
      </c>
      <c r="H68" s="56" t="s">
        <v>11</v>
      </c>
      <c r="I68" s="51">
        <v>330000</v>
      </c>
      <c r="J68" s="52">
        <f t="shared" si="1"/>
        <v>1650000</v>
      </c>
      <c r="K68" s="18"/>
    </row>
    <row r="69" spans="1:11" s="8" customFormat="1" ht="18" customHeight="1">
      <c r="A69" s="13">
        <v>64</v>
      </c>
      <c r="B69" s="53" t="str">
        <f>RIGHT("a09050414",LEN("a09050414")-1)</f>
        <v>09050414</v>
      </c>
      <c r="C69" s="54" t="s">
        <v>276</v>
      </c>
      <c r="D69" s="53" t="str">
        <f>RIGHT("a28/09/1991",LEN("a28/09/1991")-1)</f>
        <v>28/09/1991</v>
      </c>
      <c r="E69" s="55" t="s">
        <v>80</v>
      </c>
      <c r="F69" s="56">
        <v>3.63</v>
      </c>
      <c r="G69" s="56">
        <v>81</v>
      </c>
      <c r="H69" s="56" t="s">
        <v>11</v>
      </c>
      <c r="I69" s="51">
        <v>330000</v>
      </c>
      <c r="J69" s="52">
        <f t="shared" si="1"/>
        <v>1650000</v>
      </c>
      <c r="K69" s="18"/>
    </row>
    <row r="70" spans="1:11" s="8" customFormat="1" ht="18" customHeight="1">
      <c r="A70" s="13">
        <v>65</v>
      </c>
      <c r="B70" s="53" t="str">
        <f>RIGHT("a09050419",LEN("a09050419")-1)</f>
        <v>09050419</v>
      </c>
      <c r="C70" s="54" t="s">
        <v>277</v>
      </c>
      <c r="D70" s="53" t="str">
        <f>RIGHT("a20/05/1991",LEN("a20/05/1991")-1)</f>
        <v>20/05/1991</v>
      </c>
      <c r="E70" s="55" t="s">
        <v>80</v>
      </c>
      <c r="F70" s="56">
        <v>3.41</v>
      </c>
      <c r="G70" s="56">
        <v>87</v>
      </c>
      <c r="H70" s="56" t="s">
        <v>11</v>
      </c>
      <c r="I70" s="51">
        <v>330000</v>
      </c>
      <c r="J70" s="52">
        <f t="shared" si="1"/>
        <v>1650000</v>
      </c>
      <c r="K70" s="18"/>
    </row>
    <row r="71" spans="1:11" s="8" customFormat="1" ht="18" customHeight="1">
      <c r="A71" s="13">
        <v>66</v>
      </c>
      <c r="B71" s="53" t="str">
        <f>RIGHT("a09050433",LEN("a09050433")-1)</f>
        <v>09050433</v>
      </c>
      <c r="C71" s="54" t="s">
        <v>278</v>
      </c>
      <c r="D71" s="53" t="str">
        <f>RIGHT("a25/09/1991",LEN("a25/09/1991")-1)</f>
        <v>25/09/1991</v>
      </c>
      <c r="E71" s="55" t="s">
        <v>80</v>
      </c>
      <c r="F71" s="56">
        <v>3.37</v>
      </c>
      <c r="G71" s="56">
        <v>89</v>
      </c>
      <c r="H71" s="56" t="s">
        <v>11</v>
      </c>
      <c r="I71" s="51">
        <v>330000</v>
      </c>
      <c r="J71" s="52">
        <f aca="true" t="shared" si="2" ref="J71:J102">I71*5</f>
        <v>1650000</v>
      </c>
      <c r="K71" s="18"/>
    </row>
    <row r="72" spans="1:11" s="8" customFormat="1" ht="18" customHeight="1">
      <c r="A72" s="13">
        <v>67</v>
      </c>
      <c r="B72" s="53" t="str">
        <f>RIGHT("a09050434",LEN("a09050434")-1)</f>
        <v>09050434</v>
      </c>
      <c r="C72" s="54" t="s">
        <v>279</v>
      </c>
      <c r="D72" s="53" t="str">
        <f>RIGHT("a20/09/1991",LEN("a20/09/1991")-1)</f>
        <v>20/09/1991</v>
      </c>
      <c r="E72" s="55" t="s">
        <v>80</v>
      </c>
      <c r="F72" s="56">
        <v>3.36</v>
      </c>
      <c r="G72" s="56">
        <v>89</v>
      </c>
      <c r="H72" s="56" t="s">
        <v>11</v>
      </c>
      <c r="I72" s="51">
        <v>330000</v>
      </c>
      <c r="J72" s="52">
        <f t="shared" si="2"/>
        <v>1650000</v>
      </c>
      <c r="K72" s="18"/>
    </row>
    <row r="73" spans="1:11" s="8" customFormat="1" ht="18" customHeight="1">
      <c r="A73" s="13">
        <v>68</v>
      </c>
      <c r="B73" s="57" t="s">
        <v>297</v>
      </c>
      <c r="C73" s="54" t="s">
        <v>298</v>
      </c>
      <c r="D73" s="58">
        <v>33388</v>
      </c>
      <c r="E73" s="55" t="s">
        <v>80</v>
      </c>
      <c r="F73" s="56">
        <v>3.53</v>
      </c>
      <c r="G73" s="56">
        <v>89</v>
      </c>
      <c r="H73" s="56" t="s">
        <v>11</v>
      </c>
      <c r="I73" s="51">
        <v>330000</v>
      </c>
      <c r="J73" s="52">
        <f t="shared" si="2"/>
        <v>1650000</v>
      </c>
      <c r="K73" s="18"/>
    </row>
    <row r="74" spans="1:11" s="8" customFormat="1" ht="18" customHeight="1">
      <c r="A74" s="13">
        <v>69</v>
      </c>
      <c r="B74" s="53" t="str">
        <f>RIGHT("a09050339",LEN("a09050339")-1)</f>
        <v>09050339</v>
      </c>
      <c r="C74" s="54" t="s">
        <v>283</v>
      </c>
      <c r="D74" s="53" t="str">
        <f>RIGHT("a13/07/1989",LEN("a13/07/1989")-1)</f>
        <v>13/07/1989</v>
      </c>
      <c r="E74" s="55" t="s">
        <v>82</v>
      </c>
      <c r="F74" s="56">
        <v>3.86</v>
      </c>
      <c r="G74" s="56">
        <v>74</v>
      </c>
      <c r="H74" s="56" t="s">
        <v>10</v>
      </c>
      <c r="I74" s="51">
        <v>290000</v>
      </c>
      <c r="J74" s="52">
        <f t="shared" si="2"/>
        <v>1450000</v>
      </c>
      <c r="K74" s="18"/>
    </row>
    <row r="75" spans="1:11" s="8" customFormat="1" ht="18" customHeight="1">
      <c r="A75" s="13">
        <v>70</v>
      </c>
      <c r="B75" s="53" t="str">
        <f>RIGHT("a09050361",LEN("a09050361")-1)</f>
        <v>09050361</v>
      </c>
      <c r="C75" s="54" t="s">
        <v>81</v>
      </c>
      <c r="D75" s="53" t="str">
        <f>RIGHT("a22/08/1991",LEN("a22/08/1991")-1)</f>
        <v>22/08/1991</v>
      </c>
      <c r="E75" s="55" t="s">
        <v>82</v>
      </c>
      <c r="F75" s="56">
        <v>3.61</v>
      </c>
      <c r="G75" s="56">
        <v>79</v>
      </c>
      <c r="H75" s="56" t="s">
        <v>10</v>
      </c>
      <c r="I75" s="51">
        <v>290000</v>
      </c>
      <c r="J75" s="52">
        <f t="shared" si="2"/>
        <v>1450000</v>
      </c>
      <c r="K75" s="18"/>
    </row>
    <row r="76" spans="1:11" s="8" customFormat="1" ht="18" customHeight="1">
      <c r="A76" s="13">
        <v>71</v>
      </c>
      <c r="B76" s="53" t="str">
        <f>RIGHT("a09050388",LEN("a09050388")-1)</f>
        <v>09050388</v>
      </c>
      <c r="C76" s="54" t="s">
        <v>83</v>
      </c>
      <c r="D76" s="53" t="str">
        <f>RIGHT("a12/12/1991",LEN("a12/12/1991")-1)</f>
        <v>12/12/1991</v>
      </c>
      <c r="E76" s="55" t="s">
        <v>82</v>
      </c>
      <c r="F76" s="56">
        <v>3.57</v>
      </c>
      <c r="G76" s="56">
        <v>83</v>
      </c>
      <c r="H76" s="56" t="s">
        <v>11</v>
      </c>
      <c r="I76" s="51">
        <v>330000</v>
      </c>
      <c r="J76" s="52">
        <f t="shared" si="2"/>
        <v>1650000</v>
      </c>
      <c r="K76" s="18"/>
    </row>
    <row r="77" spans="1:11" s="8" customFormat="1" ht="18" customHeight="1">
      <c r="A77" s="13">
        <v>72</v>
      </c>
      <c r="B77" s="53" t="str">
        <f>RIGHT("a09050381",LEN("a09050381")-1)</f>
        <v>09050381</v>
      </c>
      <c r="C77" s="54" t="s">
        <v>284</v>
      </c>
      <c r="D77" s="53" t="str">
        <f>RIGHT("a01/05/1991",LEN("a01/05/1991")-1)</f>
        <v>01/05/1991</v>
      </c>
      <c r="E77" s="55" t="s">
        <v>82</v>
      </c>
      <c r="F77" s="56">
        <v>3.54</v>
      </c>
      <c r="G77" s="56">
        <v>91</v>
      </c>
      <c r="H77" s="56" t="s">
        <v>11</v>
      </c>
      <c r="I77" s="51">
        <v>330000</v>
      </c>
      <c r="J77" s="52">
        <f t="shared" si="2"/>
        <v>1650000</v>
      </c>
      <c r="K77" s="18"/>
    </row>
    <row r="78" spans="1:11" s="8" customFormat="1" ht="18" customHeight="1">
      <c r="A78" s="13">
        <v>73</v>
      </c>
      <c r="B78" s="53" t="str">
        <f>RIGHT("a09050340",LEN("a09050340")-1)</f>
        <v>09050340</v>
      </c>
      <c r="C78" s="54" t="s">
        <v>285</v>
      </c>
      <c r="D78" s="53" t="str">
        <f>RIGHT("a11/06/1991",LEN("a11/06/1991")-1)</f>
        <v>11/06/1991</v>
      </c>
      <c r="E78" s="55" t="s">
        <v>82</v>
      </c>
      <c r="F78" s="56">
        <v>3.54</v>
      </c>
      <c r="G78" s="56">
        <v>83</v>
      </c>
      <c r="H78" s="56" t="s">
        <v>11</v>
      </c>
      <c r="I78" s="51">
        <v>330000</v>
      </c>
      <c r="J78" s="52">
        <f t="shared" si="2"/>
        <v>1650000</v>
      </c>
      <c r="K78" s="18"/>
    </row>
    <row r="79" spans="1:11" s="8" customFormat="1" ht="18" customHeight="1">
      <c r="A79" s="13">
        <v>74</v>
      </c>
      <c r="B79" s="53" t="str">
        <f>RIGHT("a09050403",LEN("a09050403")-1)</f>
        <v>09050403</v>
      </c>
      <c r="C79" s="54" t="s">
        <v>286</v>
      </c>
      <c r="D79" s="53" t="str">
        <f>RIGHT("a06/09/1991",LEN("a06/09/1991")-1)</f>
        <v>06/09/1991</v>
      </c>
      <c r="E79" s="55" t="s">
        <v>82</v>
      </c>
      <c r="F79" s="56">
        <v>3.52</v>
      </c>
      <c r="G79" s="56">
        <v>77</v>
      </c>
      <c r="H79" s="56" t="s">
        <v>10</v>
      </c>
      <c r="I79" s="51">
        <v>290000</v>
      </c>
      <c r="J79" s="52">
        <f t="shared" si="2"/>
        <v>1450000</v>
      </c>
      <c r="K79" s="18"/>
    </row>
    <row r="80" spans="1:11" s="8" customFormat="1" ht="18" customHeight="1">
      <c r="A80" s="13">
        <v>75</v>
      </c>
      <c r="B80" s="53" t="str">
        <f>RIGHT("a09050331",LEN("a09050331")-1)</f>
        <v>09050331</v>
      </c>
      <c r="C80" s="54" t="s">
        <v>287</v>
      </c>
      <c r="D80" s="53" t="str">
        <f>RIGHT("a14/12/1991",LEN("a14/12/1991")-1)</f>
        <v>14/12/1991</v>
      </c>
      <c r="E80" s="55" t="s">
        <v>82</v>
      </c>
      <c r="F80" s="56">
        <v>3.42</v>
      </c>
      <c r="G80" s="56">
        <v>77</v>
      </c>
      <c r="H80" s="56" t="s">
        <v>10</v>
      </c>
      <c r="I80" s="51">
        <v>290000</v>
      </c>
      <c r="J80" s="52">
        <f t="shared" si="2"/>
        <v>1450000</v>
      </c>
      <c r="K80" s="18"/>
    </row>
    <row r="81" spans="1:11" s="8" customFormat="1" ht="18" customHeight="1">
      <c r="A81" s="13">
        <v>76</v>
      </c>
      <c r="B81" s="53" t="str">
        <f>RIGHT("a09050408",LEN("a09050408")-1)</f>
        <v>09050408</v>
      </c>
      <c r="C81" s="54" t="s">
        <v>288</v>
      </c>
      <c r="D81" s="53" t="str">
        <f>RIGHT("a31/05/1991",LEN("a31/05/1991")-1)</f>
        <v>31/05/1991</v>
      </c>
      <c r="E81" s="55" t="s">
        <v>82</v>
      </c>
      <c r="F81" s="56">
        <v>3.34</v>
      </c>
      <c r="G81" s="56">
        <v>87</v>
      </c>
      <c r="H81" s="56" t="s">
        <v>11</v>
      </c>
      <c r="I81" s="51">
        <v>330000</v>
      </c>
      <c r="J81" s="52">
        <f t="shared" si="2"/>
        <v>1650000</v>
      </c>
      <c r="K81" s="18"/>
    </row>
    <row r="82" spans="1:11" s="8" customFormat="1" ht="18" customHeight="1">
      <c r="A82" s="13">
        <v>77</v>
      </c>
      <c r="B82" s="53" t="str">
        <f>RIGHT("a09050374",LEN("a09050374")-1)</f>
        <v>09050374</v>
      </c>
      <c r="C82" s="54" t="s">
        <v>84</v>
      </c>
      <c r="D82" s="53" t="str">
        <f>RIGHT("a10/04/1991",LEN("a10/04/1991")-1)</f>
        <v>10/04/1991</v>
      </c>
      <c r="E82" s="55" t="s">
        <v>82</v>
      </c>
      <c r="F82" s="56">
        <v>3.31</v>
      </c>
      <c r="G82" s="56">
        <v>87</v>
      </c>
      <c r="H82" s="56" t="s">
        <v>11</v>
      </c>
      <c r="I82" s="51">
        <v>330000</v>
      </c>
      <c r="J82" s="52">
        <f t="shared" si="2"/>
        <v>1650000</v>
      </c>
      <c r="K82" s="18"/>
    </row>
    <row r="83" spans="1:11" s="8" customFormat="1" ht="18" customHeight="1">
      <c r="A83" s="13">
        <v>78</v>
      </c>
      <c r="B83" s="53" t="str">
        <f>RIGHT("a09050373",LEN("a09050373")-1)</f>
        <v>09050373</v>
      </c>
      <c r="C83" s="54" t="s">
        <v>85</v>
      </c>
      <c r="D83" s="53" t="str">
        <f>RIGHT("a14/12/1991",LEN("a14/12/1991")-1)</f>
        <v>14/12/1991</v>
      </c>
      <c r="E83" s="55" t="s">
        <v>82</v>
      </c>
      <c r="F83" s="56">
        <v>3.31</v>
      </c>
      <c r="G83" s="56">
        <v>79</v>
      </c>
      <c r="H83" s="56" t="s">
        <v>10</v>
      </c>
      <c r="I83" s="51">
        <v>290000</v>
      </c>
      <c r="J83" s="52">
        <f t="shared" si="2"/>
        <v>1450000</v>
      </c>
      <c r="K83" s="18"/>
    </row>
    <row r="84" spans="1:11" s="8" customFormat="1" ht="18" customHeight="1">
      <c r="A84" s="13">
        <v>79</v>
      </c>
      <c r="B84" s="53" t="str">
        <f>RIGHT("a09050371",LEN("a09050371")-1)</f>
        <v>09050371</v>
      </c>
      <c r="C84" s="54" t="s">
        <v>86</v>
      </c>
      <c r="D84" s="53" t="str">
        <f>RIGHT("a27/08/1991",LEN("a27/08/1991")-1)</f>
        <v>27/08/1991</v>
      </c>
      <c r="E84" s="55" t="s">
        <v>82</v>
      </c>
      <c r="F84" s="56">
        <v>3.3</v>
      </c>
      <c r="G84" s="56">
        <v>93</v>
      </c>
      <c r="H84" s="56" t="s">
        <v>11</v>
      </c>
      <c r="I84" s="51">
        <v>330000</v>
      </c>
      <c r="J84" s="52">
        <f t="shared" si="2"/>
        <v>1650000</v>
      </c>
      <c r="K84" s="18"/>
    </row>
    <row r="85" spans="1:11" s="8" customFormat="1" ht="18" customHeight="1">
      <c r="A85" s="13">
        <v>80</v>
      </c>
      <c r="B85" s="47" t="str">
        <f>RIGHT("a09050195",LEN("a09050195")-1)</f>
        <v>09050195</v>
      </c>
      <c r="C85" s="48" t="s">
        <v>87</v>
      </c>
      <c r="D85" s="47" t="str">
        <f>RIGHT("a10/02/1991",LEN("a10/02/1991")-1)</f>
        <v>10/02/1991</v>
      </c>
      <c r="E85" s="49" t="s">
        <v>88</v>
      </c>
      <c r="F85" s="50">
        <v>3.78</v>
      </c>
      <c r="G85" s="50">
        <v>75</v>
      </c>
      <c r="H85" s="50" t="s">
        <v>10</v>
      </c>
      <c r="I85" s="51">
        <v>290000</v>
      </c>
      <c r="J85" s="52">
        <f t="shared" si="2"/>
        <v>1450000</v>
      </c>
      <c r="K85" s="18"/>
    </row>
    <row r="86" spans="1:11" s="8" customFormat="1" ht="18" customHeight="1">
      <c r="A86" s="13">
        <v>81</v>
      </c>
      <c r="B86" s="47" t="str">
        <f>RIGHT("a09050260",LEN("a09050260")-1)</f>
        <v>09050260</v>
      </c>
      <c r="C86" s="48" t="s">
        <v>89</v>
      </c>
      <c r="D86" s="47" t="str">
        <f>RIGHT("a12/01/1991",LEN("a12/01/1991")-1)</f>
        <v>12/01/1991</v>
      </c>
      <c r="E86" s="49" t="s">
        <v>88</v>
      </c>
      <c r="F86" s="50">
        <v>3.72</v>
      </c>
      <c r="G86" s="50">
        <v>79</v>
      </c>
      <c r="H86" s="50" t="s">
        <v>10</v>
      </c>
      <c r="I86" s="51">
        <v>290000</v>
      </c>
      <c r="J86" s="52">
        <f t="shared" si="2"/>
        <v>1450000</v>
      </c>
      <c r="K86" s="18"/>
    </row>
    <row r="87" spans="1:11" s="8" customFormat="1" ht="18" customHeight="1">
      <c r="A87" s="13">
        <v>82</v>
      </c>
      <c r="B87" s="47" t="str">
        <f>RIGHT("a09050240",LEN("a09050240")-1)</f>
        <v>09050240</v>
      </c>
      <c r="C87" s="48" t="s">
        <v>90</v>
      </c>
      <c r="D87" s="47" t="str">
        <f>RIGHT("a04/10/1991",LEN("a04/10/1991")-1)</f>
        <v>04/10/1991</v>
      </c>
      <c r="E87" s="49" t="s">
        <v>88</v>
      </c>
      <c r="F87" s="50">
        <v>3.64</v>
      </c>
      <c r="G87" s="50">
        <v>81</v>
      </c>
      <c r="H87" s="50" t="s">
        <v>11</v>
      </c>
      <c r="I87" s="51">
        <v>330000</v>
      </c>
      <c r="J87" s="52">
        <f t="shared" si="2"/>
        <v>1650000</v>
      </c>
      <c r="K87" s="18"/>
    </row>
    <row r="88" spans="1:11" s="8" customFormat="1" ht="18" customHeight="1">
      <c r="A88" s="13">
        <v>83</v>
      </c>
      <c r="B88" s="47" t="str">
        <f>RIGHT("a09050242",LEN("a09050242")-1)</f>
        <v>09050242</v>
      </c>
      <c r="C88" s="48" t="s">
        <v>91</v>
      </c>
      <c r="D88" s="47" t="str">
        <f>RIGHT("a24/08/1991",LEN("a24/08/1991")-1)</f>
        <v>24/08/1991</v>
      </c>
      <c r="E88" s="49" t="s">
        <v>88</v>
      </c>
      <c r="F88" s="50">
        <v>3.64</v>
      </c>
      <c r="G88" s="50">
        <v>75</v>
      </c>
      <c r="H88" s="50" t="s">
        <v>10</v>
      </c>
      <c r="I88" s="51">
        <v>290000</v>
      </c>
      <c r="J88" s="52">
        <f t="shared" si="2"/>
        <v>1450000</v>
      </c>
      <c r="K88" s="18"/>
    </row>
    <row r="89" spans="1:11" s="8" customFormat="1" ht="18" customHeight="1">
      <c r="A89" s="13">
        <v>84</v>
      </c>
      <c r="B89" s="47" t="str">
        <f>RIGHT("a09050128",LEN("a09050128")-1)</f>
        <v>09050128</v>
      </c>
      <c r="C89" s="48" t="s">
        <v>92</v>
      </c>
      <c r="D89" s="47" t="str">
        <f>RIGHT("a13/11/1991",LEN("a13/11/1991")-1)</f>
        <v>13/11/1991</v>
      </c>
      <c r="E89" s="49" t="s">
        <v>88</v>
      </c>
      <c r="F89" s="50">
        <v>3.6</v>
      </c>
      <c r="G89" s="50">
        <v>81</v>
      </c>
      <c r="H89" s="50" t="s">
        <v>11</v>
      </c>
      <c r="I89" s="51">
        <v>330000</v>
      </c>
      <c r="J89" s="52">
        <f t="shared" si="2"/>
        <v>1650000</v>
      </c>
      <c r="K89" s="18"/>
    </row>
    <row r="90" spans="1:11" s="8" customFormat="1" ht="18" customHeight="1">
      <c r="A90" s="13">
        <v>85</v>
      </c>
      <c r="B90" s="47" t="str">
        <f>RIGHT("a09050237",LEN("a09050237")-1)</f>
        <v>09050237</v>
      </c>
      <c r="C90" s="48" t="s">
        <v>93</v>
      </c>
      <c r="D90" s="47" t="str">
        <f>RIGHT("a11/07/1991",LEN("a11/07/1991")-1)</f>
        <v>11/07/1991</v>
      </c>
      <c r="E90" s="49" t="s">
        <v>88</v>
      </c>
      <c r="F90" s="50">
        <v>3.59</v>
      </c>
      <c r="G90" s="50">
        <v>89</v>
      </c>
      <c r="H90" s="50" t="s">
        <v>11</v>
      </c>
      <c r="I90" s="51">
        <v>330000</v>
      </c>
      <c r="J90" s="52">
        <f t="shared" si="2"/>
        <v>1650000</v>
      </c>
      <c r="K90" s="18"/>
    </row>
    <row r="91" spans="1:11" s="8" customFormat="1" ht="18" customHeight="1">
      <c r="A91" s="13">
        <v>86</v>
      </c>
      <c r="B91" s="47" t="str">
        <f>RIGHT("a09050225",LEN("a09050225")-1)</f>
        <v>09050225</v>
      </c>
      <c r="C91" s="48" t="s">
        <v>94</v>
      </c>
      <c r="D91" s="47" t="str">
        <f>RIGHT("a27/08/1991",LEN("a27/08/1991")-1)</f>
        <v>27/08/1991</v>
      </c>
      <c r="E91" s="49" t="s">
        <v>88</v>
      </c>
      <c r="F91" s="50">
        <v>3.58</v>
      </c>
      <c r="G91" s="50">
        <v>79</v>
      </c>
      <c r="H91" s="50" t="s">
        <v>10</v>
      </c>
      <c r="I91" s="51">
        <v>290000</v>
      </c>
      <c r="J91" s="52">
        <f t="shared" si="2"/>
        <v>1450000</v>
      </c>
      <c r="K91" s="18"/>
    </row>
    <row r="92" spans="1:11" s="8" customFormat="1" ht="18" customHeight="1">
      <c r="A92" s="13">
        <v>87</v>
      </c>
      <c r="B92" s="47" t="str">
        <f>RIGHT("a09050202",LEN("a09050202")-1)</f>
        <v>09050202</v>
      </c>
      <c r="C92" s="48" t="s">
        <v>95</v>
      </c>
      <c r="D92" s="47" t="str">
        <f>RIGHT("a06/06/1991",LEN("a06/06/1991")-1)</f>
        <v>06/06/1991</v>
      </c>
      <c r="E92" s="49" t="s">
        <v>88</v>
      </c>
      <c r="F92" s="50">
        <v>3.56</v>
      </c>
      <c r="G92" s="50">
        <v>73</v>
      </c>
      <c r="H92" s="50" t="s">
        <v>10</v>
      </c>
      <c r="I92" s="51">
        <v>290000</v>
      </c>
      <c r="J92" s="52">
        <f t="shared" si="2"/>
        <v>1450000</v>
      </c>
      <c r="K92" s="18"/>
    </row>
    <row r="93" spans="1:11" s="8" customFormat="1" ht="18" customHeight="1">
      <c r="A93" s="13">
        <v>88</v>
      </c>
      <c r="B93" s="47" t="str">
        <f>RIGHT("a09050233",LEN("a09050233")-1)</f>
        <v>09050233</v>
      </c>
      <c r="C93" s="48" t="s">
        <v>96</v>
      </c>
      <c r="D93" s="47" t="str">
        <f>RIGHT("a10/09/1991",LEN("a10/09/1991")-1)</f>
        <v>10/09/1991</v>
      </c>
      <c r="E93" s="49" t="s">
        <v>88</v>
      </c>
      <c r="F93" s="50">
        <v>3.51</v>
      </c>
      <c r="G93" s="50">
        <v>79</v>
      </c>
      <c r="H93" s="50" t="s">
        <v>10</v>
      </c>
      <c r="I93" s="51">
        <v>290000</v>
      </c>
      <c r="J93" s="52">
        <f t="shared" si="2"/>
        <v>1450000</v>
      </c>
      <c r="K93" s="18"/>
    </row>
    <row r="94" spans="1:11" s="8" customFormat="1" ht="18" customHeight="1">
      <c r="A94" s="13">
        <v>89</v>
      </c>
      <c r="B94" s="47" t="str">
        <f>RIGHT("a09050239",LEN("a09050239")-1)</f>
        <v>09050239</v>
      </c>
      <c r="C94" s="48" t="s">
        <v>97</v>
      </c>
      <c r="D94" s="47" t="str">
        <f>RIGHT("a26/03/1991",LEN("a26/03/1991")-1)</f>
        <v>26/03/1991</v>
      </c>
      <c r="E94" s="49" t="s">
        <v>88</v>
      </c>
      <c r="F94" s="50">
        <v>3.51</v>
      </c>
      <c r="G94" s="50">
        <v>79</v>
      </c>
      <c r="H94" s="50" t="s">
        <v>10</v>
      </c>
      <c r="I94" s="51">
        <v>290000</v>
      </c>
      <c r="J94" s="52">
        <f t="shared" si="2"/>
        <v>1450000</v>
      </c>
      <c r="K94" s="18"/>
    </row>
    <row r="95" spans="1:11" s="8" customFormat="1" ht="18" customHeight="1">
      <c r="A95" s="13">
        <v>90</v>
      </c>
      <c r="B95" s="47" t="str">
        <f>RIGHT("a09050262",LEN("a09050262")-1)</f>
        <v>09050262</v>
      </c>
      <c r="C95" s="48" t="s">
        <v>98</v>
      </c>
      <c r="D95" s="47" t="str">
        <f>RIGHT("a15/10/1991",LEN("a15/10/1991")-1)</f>
        <v>15/10/1991</v>
      </c>
      <c r="E95" s="49" t="s">
        <v>88</v>
      </c>
      <c r="F95" s="50">
        <v>3.51</v>
      </c>
      <c r="G95" s="50">
        <v>79</v>
      </c>
      <c r="H95" s="50" t="s">
        <v>10</v>
      </c>
      <c r="I95" s="51">
        <v>290000</v>
      </c>
      <c r="J95" s="52">
        <f t="shared" si="2"/>
        <v>1450000</v>
      </c>
      <c r="K95" s="18"/>
    </row>
    <row r="96" spans="1:11" s="8" customFormat="1" ht="18" customHeight="1">
      <c r="A96" s="13">
        <v>91</v>
      </c>
      <c r="B96" s="47" t="str">
        <f>RIGHT("a09050196",LEN("a09050196")-1)</f>
        <v>09050196</v>
      </c>
      <c r="C96" s="48" t="s">
        <v>99</v>
      </c>
      <c r="D96" s="47" t="str">
        <f>RIGHT("a28/11/1991",LEN("a28/11/1991")-1)</f>
        <v>28/11/1991</v>
      </c>
      <c r="E96" s="49" t="s">
        <v>88</v>
      </c>
      <c r="F96" s="50">
        <v>3.43</v>
      </c>
      <c r="G96" s="50">
        <v>82</v>
      </c>
      <c r="H96" s="50" t="s">
        <v>11</v>
      </c>
      <c r="I96" s="51">
        <v>330000</v>
      </c>
      <c r="J96" s="52">
        <f t="shared" si="2"/>
        <v>1650000</v>
      </c>
      <c r="K96" s="18"/>
    </row>
    <row r="97" spans="1:11" s="8" customFormat="1" ht="18" customHeight="1">
      <c r="A97" s="13">
        <v>92</v>
      </c>
      <c r="B97" s="47" t="str">
        <f>RIGHT("a09050213",LEN("a09050213")-1)</f>
        <v>09050213</v>
      </c>
      <c r="C97" s="48" t="s">
        <v>100</v>
      </c>
      <c r="D97" s="47" t="str">
        <f>RIGHT("a21/08/1990",LEN("a21/08/1990")-1)</f>
        <v>21/08/1990</v>
      </c>
      <c r="E97" s="49" t="s">
        <v>88</v>
      </c>
      <c r="F97" s="50">
        <v>3.43</v>
      </c>
      <c r="G97" s="50">
        <v>79</v>
      </c>
      <c r="H97" s="50" t="s">
        <v>10</v>
      </c>
      <c r="I97" s="51">
        <v>290000</v>
      </c>
      <c r="J97" s="52">
        <f t="shared" si="2"/>
        <v>1450000</v>
      </c>
      <c r="K97" s="18"/>
    </row>
    <row r="98" spans="1:11" s="8" customFormat="1" ht="18" customHeight="1">
      <c r="A98" s="13">
        <v>93</v>
      </c>
      <c r="B98" s="47" t="str">
        <f>RIGHT("a09050253",LEN("a09050253")-1)</f>
        <v>09050253</v>
      </c>
      <c r="C98" s="48" t="s">
        <v>101</v>
      </c>
      <c r="D98" s="47" t="str">
        <f>RIGHT("a01/08/1991",LEN("a01/08/1991")-1)</f>
        <v>01/08/1991</v>
      </c>
      <c r="E98" s="49" t="s">
        <v>88</v>
      </c>
      <c r="F98" s="50">
        <v>3.43</v>
      </c>
      <c r="G98" s="50">
        <v>73</v>
      </c>
      <c r="H98" s="50" t="s">
        <v>10</v>
      </c>
      <c r="I98" s="51">
        <v>290000</v>
      </c>
      <c r="J98" s="52">
        <f t="shared" si="2"/>
        <v>1450000</v>
      </c>
      <c r="K98" s="18"/>
    </row>
    <row r="99" spans="1:11" s="8" customFormat="1" ht="18" customHeight="1">
      <c r="A99" s="13">
        <v>94</v>
      </c>
      <c r="B99" s="47" t="str">
        <f>RIGHT("a09050232",LEN("a09050232")-1)</f>
        <v>09050232</v>
      </c>
      <c r="C99" s="48" t="s">
        <v>102</v>
      </c>
      <c r="D99" s="47" t="str">
        <f>RIGHT("a26/12/1991",LEN("a26/12/1991")-1)</f>
        <v>26/12/1991</v>
      </c>
      <c r="E99" s="49" t="s">
        <v>88</v>
      </c>
      <c r="F99" s="50">
        <v>3.4</v>
      </c>
      <c r="G99" s="50">
        <v>73</v>
      </c>
      <c r="H99" s="50" t="s">
        <v>10</v>
      </c>
      <c r="I99" s="51">
        <v>290000</v>
      </c>
      <c r="J99" s="52">
        <f t="shared" si="2"/>
        <v>1450000</v>
      </c>
      <c r="K99" s="18"/>
    </row>
    <row r="100" spans="1:11" s="8" customFormat="1" ht="18" customHeight="1">
      <c r="A100" s="13">
        <v>95</v>
      </c>
      <c r="B100" s="47" t="str">
        <f>RIGHT("a09050230",LEN("a09050230")-1)</f>
        <v>09050230</v>
      </c>
      <c r="C100" s="48" t="s">
        <v>103</v>
      </c>
      <c r="D100" s="47" t="str">
        <f>RIGHT("a09/03/1991",LEN("a09/03/1991")-1)</f>
        <v>09/03/1991</v>
      </c>
      <c r="E100" s="49" t="s">
        <v>104</v>
      </c>
      <c r="F100" s="50">
        <v>3.64</v>
      </c>
      <c r="G100" s="50">
        <v>87</v>
      </c>
      <c r="H100" s="50" t="s">
        <v>11</v>
      </c>
      <c r="I100" s="51">
        <v>330000</v>
      </c>
      <c r="J100" s="52">
        <f t="shared" si="2"/>
        <v>1650000</v>
      </c>
      <c r="K100" s="18"/>
    </row>
    <row r="101" spans="1:11" s="8" customFormat="1" ht="18" customHeight="1">
      <c r="A101" s="13">
        <v>96</v>
      </c>
      <c r="B101" s="47" t="str">
        <f>RIGHT("a09050220",LEN("a09050220")-1)</f>
        <v>09050220</v>
      </c>
      <c r="C101" s="48" t="s">
        <v>105</v>
      </c>
      <c r="D101" s="47" t="str">
        <f>RIGHT("a12/08/1991",LEN("a12/08/1991")-1)</f>
        <v>12/08/1991</v>
      </c>
      <c r="E101" s="49" t="s">
        <v>104</v>
      </c>
      <c r="F101" s="50">
        <v>3.57</v>
      </c>
      <c r="G101" s="50">
        <v>98</v>
      </c>
      <c r="H101" s="50" t="s">
        <v>11</v>
      </c>
      <c r="I101" s="51">
        <v>330000</v>
      </c>
      <c r="J101" s="52">
        <f t="shared" si="2"/>
        <v>1650000</v>
      </c>
      <c r="K101" s="18"/>
    </row>
    <row r="102" spans="1:11" s="8" customFormat="1" ht="18" customHeight="1">
      <c r="A102" s="13">
        <v>97</v>
      </c>
      <c r="B102" s="57" t="s">
        <v>256</v>
      </c>
      <c r="C102" s="48" t="s">
        <v>257</v>
      </c>
      <c r="D102" s="58">
        <v>33239</v>
      </c>
      <c r="E102" s="49" t="s">
        <v>104</v>
      </c>
      <c r="F102" s="50">
        <v>3.46</v>
      </c>
      <c r="G102" s="50">
        <v>95</v>
      </c>
      <c r="H102" s="50" t="s">
        <v>11</v>
      </c>
      <c r="I102" s="51">
        <v>330000</v>
      </c>
      <c r="J102" s="52">
        <f t="shared" si="2"/>
        <v>1650000</v>
      </c>
      <c r="K102" s="18"/>
    </row>
    <row r="103" spans="1:11" s="8" customFormat="1" ht="18" customHeight="1">
      <c r="A103" s="13">
        <v>98</v>
      </c>
      <c r="B103" s="47" t="str">
        <f>RIGHT("a10050350",LEN("a10050350")-1)</f>
        <v>10050350</v>
      </c>
      <c r="C103" s="48" t="s">
        <v>106</v>
      </c>
      <c r="D103" s="47" t="str">
        <f>RIGHT("a09/08/1992",LEN("a09/08/1992")-1)</f>
        <v>09/08/1992</v>
      </c>
      <c r="E103" s="49" t="s">
        <v>107</v>
      </c>
      <c r="F103" s="50">
        <v>3.7</v>
      </c>
      <c r="G103" s="50">
        <v>94</v>
      </c>
      <c r="H103" s="50" t="s">
        <v>12</v>
      </c>
      <c r="I103" s="51">
        <v>370000</v>
      </c>
      <c r="J103" s="52">
        <f aca="true" t="shared" si="3" ref="J103:J137">I103*5</f>
        <v>1850000</v>
      </c>
      <c r="K103" s="18"/>
    </row>
    <row r="104" spans="1:11" s="8" customFormat="1" ht="18" customHeight="1">
      <c r="A104" s="13">
        <v>99</v>
      </c>
      <c r="B104" s="47" t="str">
        <f>RIGHT("a10050150",LEN("a10050150")-1)</f>
        <v>10050150</v>
      </c>
      <c r="C104" s="48" t="s">
        <v>108</v>
      </c>
      <c r="D104" s="47" t="str">
        <f>RIGHT("a25/07/1992",LEN("a25/07/1992")-1)</f>
        <v>25/07/1992</v>
      </c>
      <c r="E104" s="49" t="s">
        <v>107</v>
      </c>
      <c r="F104" s="50">
        <v>3.51</v>
      </c>
      <c r="G104" s="50">
        <v>85</v>
      </c>
      <c r="H104" s="50" t="s">
        <v>11</v>
      </c>
      <c r="I104" s="51">
        <v>330000</v>
      </c>
      <c r="J104" s="52">
        <f t="shared" si="3"/>
        <v>1650000</v>
      </c>
      <c r="K104" s="18"/>
    </row>
    <row r="105" spans="1:11" s="8" customFormat="1" ht="18" customHeight="1">
      <c r="A105" s="13">
        <v>100</v>
      </c>
      <c r="B105" s="47" t="str">
        <f>RIGHT("a10050348",LEN("a10050348")-1)</f>
        <v>10050348</v>
      </c>
      <c r="C105" s="48" t="s">
        <v>109</v>
      </c>
      <c r="D105" s="47" t="str">
        <f>RIGHT("a21/11/1992",LEN("a21/11/1992")-1)</f>
        <v>21/11/1992</v>
      </c>
      <c r="E105" s="49" t="s">
        <v>107</v>
      </c>
      <c r="F105" s="50">
        <v>3.42</v>
      </c>
      <c r="G105" s="50">
        <v>87</v>
      </c>
      <c r="H105" s="50" t="s">
        <v>11</v>
      </c>
      <c r="I105" s="51">
        <v>330000</v>
      </c>
      <c r="J105" s="52">
        <f t="shared" si="3"/>
        <v>1650000</v>
      </c>
      <c r="K105" s="18"/>
    </row>
    <row r="106" spans="1:11" s="8" customFormat="1" ht="18" customHeight="1">
      <c r="A106" s="13">
        <v>101</v>
      </c>
      <c r="B106" s="47" t="str">
        <f>RIGHT("a10050363",LEN("a10050363")-1)</f>
        <v>10050363</v>
      </c>
      <c r="C106" s="48" t="s">
        <v>110</v>
      </c>
      <c r="D106" s="47" t="str">
        <f>RIGHT("a24/03/1992",LEN("a24/03/1992")-1)</f>
        <v>24/03/1992</v>
      </c>
      <c r="E106" s="49" t="s">
        <v>107</v>
      </c>
      <c r="F106" s="50">
        <v>3.38</v>
      </c>
      <c r="G106" s="50">
        <v>79</v>
      </c>
      <c r="H106" s="50" t="s">
        <v>10</v>
      </c>
      <c r="I106" s="51">
        <v>290000</v>
      </c>
      <c r="J106" s="52">
        <f t="shared" si="3"/>
        <v>1450000</v>
      </c>
      <c r="K106" s="18"/>
    </row>
    <row r="107" spans="1:11" s="8" customFormat="1" ht="18" customHeight="1">
      <c r="A107" s="13">
        <v>102</v>
      </c>
      <c r="B107" s="47" t="str">
        <f>RIGHT("a10050075",LEN("a10050075")-1)</f>
        <v>10050075</v>
      </c>
      <c r="C107" s="48" t="s">
        <v>111</v>
      </c>
      <c r="D107" s="47" t="str">
        <f>RIGHT("a03/09/1992",LEN("a03/09/1992")-1)</f>
        <v>03/09/1992</v>
      </c>
      <c r="E107" s="49" t="s">
        <v>107</v>
      </c>
      <c r="F107" s="50">
        <v>3.36</v>
      </c>
      <c r="G107" s="50">
        <v>95</v>
      </c>
      <c r="H107" s="50" t="s">
        <v>11</v>
      </c>
      <c r="I107" s="51">
        <v>330000</v>
      </c>
      <c r="J107" s="52">
        <f t="shared" si="3"/>
        <v>1650000</v>
      </c>
      <c r="K107" s="18"/>
    </row>
    <row r="108" spans="1:11" s="8" customFormat="1" ht="18" customHeight="1">
      <c r="A108" s="13">
        <v>103</v>
      </c>
      <c r="B108" s="47" t="str">
        <f>RIGHT("a10050367",LEN("a10050367")-1)</f>
        <v>10050367</v>
      </c>
      <c r="C108" s="48" t="s">
        <v>112</v>
      </c>
      <c r="D108" s="47" t="str">
        <f>RIGHT("a22/12/1992",LEN("a22/12/1992")-1)</f>
        <v>22/12/1992</v>
      </c>
      <c r="E108" s="49" t="s">
        <v>107</v>
      </c>
      <c r="F108" s="50">
        <v>3.35</v>
      </c>
      <c r="G108" s="50">
        <v>85</v>
      </c>
      <c r="H108" s="50" t="s">
        <v>11</v>
      </c>
      <c r="I108" s="51">
        <v>330000</v>
      </c>
      <c r="J108" s="52">
        <f t="shared" si="3"/>
        <v>1650000</v>
      </c>
      <c r="K108" s="18"/>
    </row>
    <row r="109" spans="1:11" s="8" customFormat="1" ht="18" customHeight="1">
      <c r="A109" s="13">
        <v>104</v>
      </c>
      <c r="B109" s="47" t="str">
        <f>RIGHT("a10050291",LEN("a10050291")-1)</f>
        <v>10050291</v>
      </c>
      <c r="C109" s="48" t="s">
        <v>113</v>
      </c>
      <c r="D109" s="47" t="str">
        <f>RIGHT("a16/12/1992",LEN("a16/12/1992")-1)</f>
        <v>16/12/1992</v>
      </c>
      <c r="E109" s="49" t="s">
        <v>114</v>
      </c>
      <c r="F109" s="50">
        <v>3.82</v>
      </c>
      <c r="G109" s="50">
        <v>97</v>
      </c>
      <c r="H109" s="50" t="s">
        <v>12</v>
      </c>
      <c r="I109" s="51">
        <v>370000</v>
      </c>
      <c r="J109" s="52">
        <f t="shared" si="3"/>
        <v>1850000</v>
      </c>
      <c r="K109" s="18"/>
    </row>
    <row r="110" spans="1:11" s="8" customFormat="1" ht="18" customHeight="1">
      <c r="A110" s="13">
        <v>105</v>
      </c>
      <c r="B110" s="47" t="str">
        <f>RIGHT("a10050067",LEN("a10050067")-1)</f>
        <v>10050067</v>
      </c>
      <c r="C110" s="48" t="s">
        <v>115</v>
      </c>
      <c r="D110" s="47" t="str">
        <f>RIGHT("a05/07/1992",LEN("a05/07/1992")-1)</f>
        <v>05/07/1992</v>
      </c>
      <c r="E110" s="49" t="s">
        <v>114</v>
      </c>
      <c r="F110" s="50">
        <v>3.8</v>
      </c>
      <c r="G110" s="50">
        <v>75</v>
      </c>
      <c r="H110" s="50" t="s">
        <v>10</v>
      </c>
      <c r="I110" s="51">
        <v>290000</v>
      </c>
      <c r="J110" s="52">
        <f t="shared" si="3"/>
        <v>1450000</v>
      </c>
      <c r="K110" s="18"/>
    </row>
    <row r="111" spans="1:11" s="8" customFormat="1" ht="18" customHeight="1">
      <c r="A111" s="13">
        <v>106</v>
      </c>
      <c r="B111" s="47" t="str">
        <f>RIGHT("a10050156",LEN("a10050156")-1)</f>
        <v>10050156</v>
      </c>
      <c r="C111" s="48" t="s">
        <v>116</v>
      </c>
      <c r="D111" s="47" t="str">
        <f>RIGHT("a20/11/1992",LEN("a20/11/1992")-1)</f>
        <v>20/11/1992</v>
      </c>
      <c r="E111" s="49" t="s">
        <v>114</v>
      </c>
      <c r="F111" s="50">
        <v>3.78</v>
      </c>
      <c r="G111" s="50">
        <v>91</v>
      </c>
      <c r="H111" s="50" t="s">
        <v>12</v>
      </c>
      <c r="I111" s="51">
        <v>370000</v>
      </c>
      <c r="J111" s="52">
        <f t="shared" si="3"/>
        <v>1850000</v>
      </c>
      <c r="K111" s="18"/>
    </row>
    <row r="112" spans="1:11" s="8" customFormat="1" ht="18" customHeight="1">
      <c r="A112" s="13">
        <v>107</v>
      </c>
      <c r="B112" s="47" t="str">
        <f>RIGHT("a10050357",LEN("a10050357")-1)</f>
        <v>10050357</v>
      </c>
      <c r="C112" s="48" t="s">
        <v>117</v>
      </c>
      <c r="D112" s="47" t="str">
        <f>RIGHT("a24/03/1992",LEN("a24/03/1992")-1)</f>
        <v>24/03/1992</v>
      </c>
      <c r="E112" s="49" t="s">
        <v>114</v>
      </c>
      <c r="F112" s="50">
        <v>3.73</v>
      </c>
      <c r="G112" s="50">
        <v>97</v>
      </c>
      <c r="H112" s="50" t="s">
        <v>12</v>
      </c>
      <c r="I112" s="51">
        <v>370000</v>
      </c>
      <c r="J112" s="52">
        <f t="shared" si="3"/>
        <v>1850000</v>
      </c>
      <c r="K112" s="18"/>
    </row>
    <row r="113" spans="1:11" s="8" customFormat="1" ht="18" customHeight="1">
      <c r="A113" s="13">
        <v>108</v>
      </c>
      <c r="B113" s="47" t="str">
        <f>RIGHT("a10050146",LEN("a10050146")-1)</f>
        <v>10050146</v>
      </c>
      <c r="C113" s="48" t="s">
        <v>118</v>
      </c>
      <c r="D113" s="47" t="str">
        <f>RIGHT("a25/04/1992",LEN("a25/04/1992")-1)</f>
        <v>25/04/1992</v>
      </c>
      <c r="E113" s="49" t="s">
        <v>114</v>
      </c>
      <c r="F113" s="50">
        <v>3.7</v>
      </c>
      <c r="G113" s="50">
        <v>87</v>
      </c>
      <c r="H113" s="50" t="s">
        <v>11</v>
      </c>
      <c r="I113" s="51">
        <v>330000</v>
      </c>
      <c r="J113" s="52">
        <f t="shared" si="3"/>
        <v>1650000</v>
      </c>
      <c r="K113" s="18"/>
    </row>
    <row r="114" spans="1:11" s="8" customFormat="1" ht="18" customHeight="1">
      <c r="A114" s="13">
        <v>109</v>
      </c>
      <c r="B114" s="47" t="str">
        <f>RIGHT("a10050073",LEN("a10050073")-1)</f>
        <v>10050073</v>
      </c>
      <c r="C114" s="48" t="s">
        <v>119</v>
      </c>
      <c r="D114" s="47" t="str">
        <f>RIGHT("a07/01/1992",LEN("a07/01/1992")-1)</f>
        <v>07/01/1992</v>
      </c>
      <c r="E114" s="49" t="s">
        <v>114</v>
      </c>
      <c r="F114" s="50">
        <v>3.68</v>
      </c>
      <c r="G114" s="50">
        <v>97</v>
      </c>
      <c r="H114" s="50" t="s">
        <v>12</v>
      </c>
      <c r="I114" s="51">
        <v>370000</v>
      </c>
      <c r="J114" s="52">
        <f t="shared" si="3"/>
        <v>1850000</v>
      </c>
      <c r="K114" s="18"/>
    </row>
    <row r="115" spans="1:11" s="8" customFormat="1" ht="18" customHeight="1">
      <c r="A115" s="13">
        <v>110</v>
      </c>
      <c r="B115" s="47" t="str">
        <f>RIGHT("a10050120",LEN("a10050120")-1)</f>
        <v>10050120</v>
      </c>
      <c r="C115" s="48" t="s">
        <v>120</v>
      </c>
      <c r="D115" s="47" t="str">
        <f>RIGHT("a08/04/1992",LEN("a08/04/1992")-1)</f>
        <v>08/04/1992</v>
      </c>
      <c r="E115" s="49" t="s">
        <v>114</v>
      </c>
      <c r="F115" s="50">
        <v>3.61</v>
      </c>
      <c r="G115" s="50">
        <v>95</v>
      </c>
      <c r="H115" s="50" t="s">
        <v>12</v>
      </c>
      <c r="I115" s="51">
        <v>370000</v>
      </c>
      <c r="J115" s="52">
        <f t="shared" si="3"/>
        <v>1850000</v>
      </c>
      <c r="K115" s="18"/>
    </row>
    <row r="116" spans="1:11" s="8" customFormat="1" ht="18" customHeight="1">
      <c r="A116" s="13">
        <v>111</v>
      </c>
      <c r="B116" s="57" t="s">
        <v>258</v>
      </c>
      <c r="C116" s="48" t="s">
        <v>259</v>
      </c>
      <c r="D116" s="58">
        <v>33928</v>
      </c>
      <c r="E116" s="49" t="s">
        <v>114</v>
      </c>
      <c r="F116" s="50">
        <v>3.6</v>
      </c>
      <c r="G116" s="50">
        <v>97</v>
      </c>
      <c r="H116" s="50" t="s">
        <v>12</v>
      </c>
      <c r="I116" s="51">
        <v>370000</v>
      </c>
      <c r="J116" s="52">
        <f t="shared" si="3"/>
        <v>1850000</v>
      </c>
      <c r="K116" s="18"/>
    </row>
    <row r="117" spans="1:11" s="8" customFormat="1" ht="18" customHeight="1">
      <c r="A117" s="13">
        <v>112</v>
      </c>
      <c r="B117" s="53" t="str">
        <f>RIGHT("a10050555",LEN("a10050555")-1)</f>
        <v>10050555</v>
      </c>
      <c r="C117" s="54" t="s">
        <v>289</v>
      </c>
      <c r="D117" s="53" t="str">
        <f>RIGHT("a25/09/1992",LEN("a25/09/1992")-1)</f>
        <v>25/09/1992</v>
      </c>
      <c r="E117" s="55" t="s">
        <v>122</v>
      </c>
      <c r="F117" s="56">
        <v>3.72</v>
      </c>
      <c r="G117" s="56">
        <v>81</v>
      </c>
      <c r="H117" s="56" t="s">
        <v>11</v>
      </c>
      <c r="I117" s="51">
        <v>330000</v>
      </c>
      <c r="J117" s="52">
        <f t="shared" si="3"/>
        <v>1650000</v>
      </c>
      <c r="K117" s="18"/>
    </row>
    <row r="118" spans="1:11" s="8" customFormat="1" ht="18" customHeight="1">
      <c r="A118" s="13">
        <v>113</v>
      </c>
      <c r="B118" s="53" t="str">
        <f>RIGHT("a10050607",LEN("a10050607")-1)</f>
        <v>10050607</v>
      </c>
      <c r="C118" s="54" t="s">
        <v>290</v>
      </c>
      <c r="D118" s="53" t="str">
        <f>RIGHT("a08/07/1991",LEN("a08/07/1991")-1)</f>
        <v>08/07/1991</v>
      </c>
      <c r="E118" s="55" t="s">
        <v>122</v>
      </c>
      <c r="F118" s="56">
        <v>3.44</v>
      </c>
      <c r="G118" s="56">
        <v>89</v>
      </c>
      <c r="H118" s="56" t="s">
        <v>11</v>
      </c>
      <c r="I118" s="51">
        <v>330000</v>
      </c>
      <c r="J118" s="52">
        <f t="shared" si="3"/>
        <v>1650000</v>
      </c>
      <c r="K118" s="18"/>
    </row>
    <row r="119" spans="1:11" s="8" customFormat="1" ht="18" customHeight="1">
      <c r="A119" s="13">
        <v>114</v>
      </c>
      <c r="B119" s="53" t="str">
        <f>RIGHT("a10050543",LEN("a10050543")-1)</f>
        <v>10050543</v>
      </c>
      <c r="C119" s="54" t="s">
        <v>291</v>
      </c>
      <c r="D119" s="53" t="str">
        <f>RIGHT("a25/11/1992",LEN("a25/11/1992")-1)</f>
        <v>25/11/1992</v>
      </c>
      <c r="E119" s="55" t="s">
        <v>122</v>
      </c>
      <c r="F119" s="56">
        <v>3.44</v>
      </c>
      <c r="G119" s="56">
        <v>79</v>
      </c>
      <c r="H119" s="56" t="s">
        <v>10</v>
      </c>
      <c r="I119" s="51">
        <v>290000</v>
      </c>
      <c r="J119" s="52">
        <f t="shared" si="3"/>
        <v>1450000</v>
      </c>
      <c r="K119" s="18"/>
    </row>
    <row r="120" spans="1:11" s="8" customFormat="1" ht="18" customHeight="1">
      <c r="A120" s="13">
        <v>115</v>
      </c>
      <c r="B120" s="47" t="str">
        <f>RIGHT("a10050601",LEN("a10050601")-1)</f>
        <v>10050601</v>
      </c>
      <c r="C120" s="48" t="s">
        <v>121</v>
      </c>
      <c r="D120" s="47" t="str">
        <f>RIGHT("a10/12/1992",LEN("a10/12/1992")-1)</f>
        <v>10/12/1992</v>
      </c>
      <c r="E120" s="49" t="s">
        <v>122</v>
      </c>
      <c r="F120" s="50">
        <v>3.37</v>
      </c>
      <c r="G120" s="50">
        <v>89</v>
      </c>
      <c r="H120" s="50" t="s">
        <v>11</v>
      </c>
      <c r="I120" s="51">
        <v>330000</v>
      </c>
      <c r="J120" s="52">
        <f t="shared" si="3"/>
        <v>1650000</v>
      </c>
      <c r="K120" s="18"/>
    </row>
    <row r="121" spans="1:11" s="8" customFormat="1" ht="18" customHeight="1">
      <c r="A121" s="13">
        <v>116</v>
      </c>
      <c r="B121" s="53" t="str">
        <f>RIGHT("a10050571",LEN("a10050571")-1)</f>
        <v>10050571</v>
      </c>
      <c r="C121" s="54" t="s">
        <v>123</v>
      </c>
      <c r="D121" s="53" t="str">
        <f>RIGHT("a12/02/1992",LEN("a12/02/1992")-1)</f>
        <v>12/02/1992</v>
      </c>
      <c r="E121" s="55" t="s">
        <v>124</v>
      </c>
      <c r="F121" s="56">
        <v>3.66</v>
      </c>
      <c r="G121" s="56">
        <v>91</v>
      </c>
      <c r="H121" s="56" t="s">
        <v>12</v>
      </c>
      <c r="I121" s="51">
        <v>370000</v>
      </c>
      <c r="J121" s="52">
        <f t="shared" si="3"/>
        <v>1850000</v>
      </c>
      <c r="K121" s="18"/>
    </row>
    <row r="122" spans="1:11" s="8" customFormat="1" ht="18" customHeight="1">
      <c r="A122" s="13">
        <v>117</v>
      </c>
      <c r="B122" s="53" t="str">
        <f>RIGHT("a10050281",LEN("a10050281")-1)</f>
        <v>10050281</v>
      </c>
      <c r="C122" s="54" t="s">
        <v>125</v>
      </c>
      <c r="D122" s="53" t="str">
        <f>RIGHT("a18/09/1992",LEN("a18/09/1992")-1)</f>
        <v>18/09/1992</v>
      </c>
      <c r="E122" s="55" t="s">
        <v>124</v>
      </c>
      <c r="F122" s="56">
        <v>3.59</v>
      </c>
      <c r="G122" s="56">
        <v>81</v>
      </c>
      <c r="H122" s="56" t="s">
        <v>11</v>
      </c>
      <c r="I122" s="51">
        <v>330000</v>
      </c>
      <c r="J122" s="52">
        <f t="shared" si="3"/>
        <v>1650000</v>
      </c>
      <c r="K122" s="18"/>
    </row>
    <row r="123" spans="1:11" s="8" customFormat="1" ht="18" customHeight="1">
      <c r="A123" s="13">
        <v>118</v>
      </c>
      <c r="B123" s="53" t="str">
        <f>RIGHT("a10050257",LEN("a10050257")-1)</f>
        <v>10050257</v>
      </c>
      <c r="C123" s="54" t="s">
        <v>126</v>
      </c>
      <c r="D123" s="53" t="str">
        <f>RIGHT("a08/06/1992",LEN("a08/06/1992")-1)</f>
        <v>08/06/1992</v>
      </c>
      <c r="E123" s="55" t="s">
        <v>124</v>
      </c>
      <c r="F123" s="56">
        <v>3.59</v>
      </c>
      <c r="G123" s="56">
        <v>77</v>
      </c>
      <c r="H123" s="56" t="s">
        <v>10</v>
      </c>
      <c r="I123" s="51">
        <v>290000</v>
      </c>
      <c r="J123" s="52">
        <f t="shared" si="3"/>
        <v>1450000</v>
      </c>
      <c r="K123" s="18"/>
    </row>
    <row r="124" spans="1:11" s="8" customFormat="1" ht="18" customHeight="1">
      <c r="A124" s="13">
        <v>119</v>
      </c>
      <c r="B124" s="53" t="str">
        <f>RIGHT("a10050565",LEN("a10050565")-1)</f>
        <v>10050565</v>
      </c>
      <c r="C124" s="54" t="s">
        <v>292</v>
      </c>
      <c r="D124" s="53" t="str">
        <f>RIGHT("a13/05/1992",LEN("a13/05/1992")-1)</f>
        <v>13/05/1992</v>
      </c>
      <c r="E124" s="55" t="s">
        <v>124</v>
      </c>
      <c r="F124" s="56">
        <v>3.58</v>
      </c>
      <c r="G124" s="56">
        <v>75</v>
      </c>
      <c r="H124" s="56" t="s">
        <v>10</v>
      </c>
      <c r="I124" s="51">
        <v>290000</v>
      </c>
      <c r="J124" s="52">
        <f t="shared" si="3"/>
        <v>1450000</v>
      </c>
      <c r="K124" s="18"/>
    </row>
    <row r="125" spans="1:11" s="8" customFormat="1" ht="18" customHeight="1">
      <c r="A125" s="13">
        <v>120</v>
      </c>
      <c r="B125" s="53" t="str">
        <f>RIGHT("a10050290",LEN("a10050290")-1)</f>
        <v>10050290</v>
      </c>
      <c r="C125" s="54" t="s">
        <v>293</v>
      </c>
      <c r="D125" s="53" t="str">
        <f>RIGHT("a29/03/1992",LEN("a29/03/1992")-1)</f>
        <v>29/03/1992</v>
      </c>
      <c r="E125" s="55" t="s">
        <v>124</v>
      </c>
      <c r="F125" s="56">
        <v>3.55</v>
      </c>
      <c r="G125" s="56">
        <v>93</v>
      </c>
      <c r="H125" s="56" t="s">
        <v>11</v>
      </c>
      <c r="I125" s="51">
        <v>330000</v>
      </c>
      <c r="J125" s="52">
        <f t="shared" si="3"/>
        <v>1650000</v>
      </c>
      <c r="K125" s="18"/>
    </row>
    <row r="126" spans="1:11" s="8" customFormat="1" ht="18" customHeight="1">
      <c r="A126" s="13">
        <v>121</v>
      </c>
      <c r="B126" s="53" t="str">
        <f>RIGHT("a10050558",LEN("a10050558")-1)</f>
        <v>10050558</v>
      </c>
      <c r="C126" s="54" t="s">
        <v>127</v>
      </c>
      <c r="D126" s="53" t="str">
        <f>RIGHT("a08/04/1990",LEN("a08/04/1990")-1)</f>
        <v>08/04/1990</v>
      </c>
      <c r="E126" s="55" t="s">
        <v>124</v>
      </c>
      <c r="F126" s="56">
        <v>3.54</v>
      </c>
      <c r="G126" s="56">
        <v>83</v>
      </c>
      <c r="H126" s="56" t="s">
        <v>11</v>
      </c>
      <c r="I126" s="51">
        <v>330000</v>
      </c>
      <c r="J126" s="52">
        <f t="shared" si="3"/>
        <v>1650000</v>
      </c>
      <c r="K126" s="18"/>
    </row>
    <row r="127" spans="1:11" s="8" customFormat="1" ht="18" customHeight="1">
      <c r="A127" s="13">
        <v>122</v>
      </c>
      <c r="B127" s="53" t="str">
        <f>RIGHT("a10050613",LEN("a10050613")-1)</f>
        <v>10050613</v>
      </c>
      <c r="C127" s="54" t="s">
        <v>43</v>
      </c>
      <c r="D127" s="53" t="str">
        <f>RIGHT("a25/12/1991",LEN("a25/12/1991")-1)</f>
        <v>25/12/1991</v>
      </c>
      <c r="E127" s="55" t="s">
        <v>124</v>
      </c>
      <c r="F127" s="56">
        <v>3.49</v>
      </c>
      <c r="G127" s="56">
        <v>83</v>
      </c>
      <c r="H127" s="56" t="s">
        <v>11</v>
      </c>
      <c r="I127" s="51">
        <v>330000</v>
      </c>
      <c r="J127" s="52">
        <f t="shared" si="3"/>
        <v>1650000</v>
      </c>
      <c r="K127" s="18"/>
    </row>
    <row r="128" spans="1:11" s="8" customFormat="1" ht="18" customHeight="1">
      <c r="A128" s="13">
        <v>123</v>
      </c>
      <c r="B128" s="53" t="str">
        <f>RIGHT("a10050574",LEN("a10050574")-1)</f>
        <v>10050574</v>
      </c>
      <c r="C128" s="54" t="s">
        <v>128</v>
      </c>
      <c r="D128" s="53" t="str">
        <f>RIGHT("a11/09/1992",LEN("a11/09/1992")-1)</f>
        <v>11/09/1992</v>
      </c>
      <c r="E128" s="55" t="s">
        <v>124</v>
      </c>
      <c r="F128" s="56">
        <v>3.47</v>
      </c>
      <c r="G128" s="56">
        <v>87</v>
      </c>
      <c r="H128" s="56" t="s">
        <v>11</v>
      </c>
      <c r="I128" s="51">
        <v>330000</v>
      </c>
      <c r="J128" s="52">
        <f t="shared" si="3"/>
        <v>1650000</v>
      </c>
      <c r="K128" s="18"/>
    </row>
    <row r="129" spans="1:11" s="8" customFormat="1" ht="18" customHeight="1">
      <c r="A129" s="13">
        <v>124</v>
      </c>
      <c r="B129" s="57" t="s">
        <v>295</v>
      </c>
      <c r="C129" s="61" t="s">
        <v>296</v>
      </c>
      <c r="D129" s="58">
        <v>33846</v>
      </c>
      <c r="E129" s="55" t="s">
        <v>124</v>
      </c>
      <c r="F129" s="62">
        <v>3.44</v>
      </c>
      <c r="G129" s="62">
        <v>91</v>
      </c>
      <c r="H129" s="62" t="s">
        <v>11</v>
      </c>
      <c r="I129" s="51">
        <v>330000</v>
      </c>
      <c r="J129" s="52">
        <f t="shared" si="3"/>
        <v>1650000</v>
      </c>
      <c r="K129" s="18"/>
    </row>
    <row r="130" spans="1:11" s="8" customFormat="1" ht="18" customHeight="1">
      <c r="A130" s="13">
        <v>125</v>
      </c>
      <c r="B130" s="47" t="str">
        <f>RIGHT("a10050297",LEN("a10050297")-1)</f>
        <v>10050297</v>
      </c>
      <c r="C130" s="48" t="s">
        <v>129</v>
      </c>
      <c r="D130" s="47" t="str">
        <f>RIGHT("a02/04/1992",LEN("a02/04/1992")-1)</f>
        <v>02/04/1992</v>
      </c>
      <c r="E130" s="49" t="s">
        <v>130</v>
      </c>
      <c r="F130" s="50">
        <v>3.76</v>
      </c>
      <c r="G130" s="50">
        <v>81</v>
      </c>
      <c r="H130" s="50" t="s">
        <v>11</v>
      </c>
      <c r="I130" s="51">
        <v>330000</v>
      </c>
      <c r="J130" s="52">
        <f t="shared" si="3"/>
        <v>1650000</v>
      </c>
      <c r="K130" s="18"/>
    </row>
    <row r="131" spans="1:11" s="8" customFormat="1" ht="18" customHeight="1">
      <c r="A131" s="13">
        <v>126</v>
      </c>
      <c r="B131" s="47" t="str">
        <f>RIGHT("a10050289",LEN("a10050289")-1)</f>
        <v>10050289</v>
      </c>
      <c r="C131" s="48" t="s">
        <v>131</v>
      </c>
      <c r="D131" s="47" t="str">
        <f>RIGHT("a29/07/1992",LEN("a29/07/1992")-1)</f>
        <v>29/07/1992</v>
      </c>
      <c r="E131" s="49" t="s">
        <v>130</v>
      </c>
      <c r="F131" s="50">
        <v>3.63</v>
      </c>
      <c r="G131" s="50">
        <v>91</v>
      </c>
      <c r="H131" s="50" t="s">
        <v>12</v>
      </c>
      <c r="I131" s="51">
        <v>370000</v>
      </c>
      <c r="J131" s="52">
        <f t="shared" si="3"/>
        <v>1850000</v>
      </c>
      <c r="K131" s="18"/>
    </row>
    <row r="132" spans="1:11" s="8" customFormat="1" ht="18" customHeight="1">
      <c r="A132" s="13">
        <v>127</v>
      </c>
      <c r="B132" s="47" t="str">
        <f>RIGHT("a10050041",LEN("a10050041")-1)</f>
        <v>10050041</v>
      </c>
      <c r="C132" s="48" t="s">
        <v>132</v>
      </c>
      <c r="D132" s="47" t="str">
        <f>RIGHT("a15/05/1992",LEN("a15/05/1992")-1)</f>
        <v>15/05/1992</v>
      </c>
      <c r="E132" s="49" t="s">
        <v>130</v>
      </c>
      <c r="F132" s="50">
        <v>3.57</v>
      </c>
      <c r="G132" s="50">
        <v>89</v>
      </c>
      <c r="H132" s="50" t="s">
        <v>11</v>
      </c>
      <c r="I132" s="51">
        <v>330000</v>
      </c>
      <c r="J132" s="52">
        <f t="shared" si="3"/>
        <v>1650000</v>
      </c>
      <c r="K132" s="18"/>
    </row>
    <row r="133" spans="1:11" s="8" customFormat="1" ht="18" customHeight="1">
      <c r="A133" s="13">
        <v>128</v>
      </c>
      <c r="B133" s="47" t="str">
        <f>RIGHT("a10050312",LEN("a10050312")-1)</f>
        <v>10050312</v>
      </c>
      <c r="C133" s="48" t="s">
        <v>133</v>
      </c>
      <c r="D133" s="47" t="str">
        <f>RIGHT("a24/09/1991",LEN("a24/09/1991")-1)</f>
        <v>24/09/1991</v>
      </c>
      <c r="E133" s="49" t="s">
        <v>130</v>
      </c>
      <c r="F133" s="50">
        <v>3.53</v>
      </c>
      <c r="G133" s="50">
        <v>79</v>
      </c>
      <c r="H133" s="50" t="s">
        <v>10</v>
      </c>
      <c r="I133" s="51">
        <v>290000</v>
      </c>
      <c r="J133" s="52">
        <f t="shared" si="3"/>
        <v>1450000</v>
      </c>
      <c r="K133" s="18"/>
    </row>
    <row r="134" spans="1:11" s="8" customFormat="1" ht="18" customHeight="1">
      <c r="A134" s="13">
        <v>129</v>
      </c>
      <c r="B134" s="47" t="str">
        <f>RIGHT("a10050029",LEN("a10050029")-1)</f>
        <v>10050029</v>
      </c>
      <c r="C134" s="48" t="s">
        <v>134</v>
      </c>
      <c r="D134" s="47" t="str">
        <f>RIGHT("a16/01/1992",LEN("a16/01/1992")-1)</f>
        <v>16/01/1992</v>
      </c>
      <c r="E134" s="49" t="s">
        <v>130</v>
      </c>
      <c r="F134" s="50">
        <v>3.5</v>
      </c>
      <c r="G134" s="50">
        <v>89</v>
      </c>
      <c r="H134" s="50" t="s">
        <v>11</v>
      </c>
      <c r="I134" s="51">
        <v>330000</v>
      </c>
      <c r="J134" s="52">
        <f t="shared" si="3"/>
        <v>1650000</v>
      </c>
      <c r="K134" s="18"/>
    </row>
    <row r="135" spans="1:11" s="8" customFormat="1" ht="18" customHeight="1">
      <c r="A135" s="13">
        <v>130</v>
      </c>
      <c r="B135" s="47" t="str">
        <f>RIGHT("a10050287",LEN("a10050287")-1)</f>
        <v>10050287</v>
      </c>
      <c r="C135" s="48" t="s">
        <v>135</v>
      </c>
      <c r="D135" s="47" t="str">
        <f>RIGHT("a19/10/1992",LEN("a19/10/1992")-1)</f>
        <v>19/10/1992</v>
      </c>
      <c r="E135" s="49" t="s">
        <v>130</v>
      </c>
      <c r="F135" s="50">
        <v>3.5</v>
      </c>
      <c r="G135" s="50">
        <v>79</v>
      </c>
      <c r="H135" s="50" t="s">
        <v>10</v>
      </c>
      <c r="I135" s="51">
        <v>290000</v>
      </c>
      <c r="J135" s="52">
        <f t="shared" si="3"/>
        <v>1450000</v>
      </c>
      <c r="K135" s="18"/>
    </row>
    <row r="136" spans="1:11" s="8" customFormat="1" ht="18" customHeight="1">
      <c r="A136" s="13">
        <v>131</v>
      </c>
      <c r="B136" s="47" t="str">
        <f>RIGHT("a10050069",LEN("a10050069")-1)</f>
        <v>10050069</v>
      </c>
      <c r="C136" s="48" t="s">
        <v>136</v>
      </c>
      <c r="D136" s="47" t="str">
        <f>RIGHT("a25/05/1992",LEN("a25/05/1992")-1)</f>
        <v>25/05/1992</v>
      </c>
      <c r="E136" s="49" t="s">
        <v>130</v>
      </c>
      <c r="F136" s="50">
        <v>3.46</v>
      </c>
      <c r="G136" s="50">
        <v>79</v>
      </c>
      <c r="H136" s="50" t="s">
        <v>10</v>
      </c>
      <c r="I136" s="51">
        <v>290000</v>
      </c>
      <c r="J136" s="52">
        <f t="shared" si="3"/>
        <v>1450000</v>
      </c>
      <c r="K136" s="18"/>
    </row>
    <row r="137" spans="1:11" s="8" customFormat="1" ht="18" customHeight="1">
      <c r="A137" s="13">
        <v>132</v>
      </c>
      <c r="B137" s="47" t="str">
        <f>RIGHT("a10050590",LEN("a10050590")-1)</f>
        <v>10050590</v>
      </c>
      <c r="C137" s="48" t="s">
        <v>137</v>
      </c>
      <c r="D137" s="47" t="str">
        <f>RIGHT("a16/10/1992",LEN("a16/10/1992")-1)</f>
        <v>16/10/1992</v>
      </c>
      <c r="E137" s="49" t="s">
        <v>130</v>
      </c>
      <c r="F137" s="50">
        <v>3.44</v>
      </c>
      <c r="G137" s="50">
        <v>79</v>
      </c>
      <c r="H137" s="50" t="s">
        <v>10</v>
      </c>
      <c r="I137" s="51">
        <v>290000</v>
      </c>
      <c r="J137" s="52">
        <f t="shared" si="3"/>
        <v>1450000</v>
      </c>
      <c r="K137" s="18"/>
    </row>
    <row r="138" spans="1:11" s="8" customFormat="1" ht="18" customHeight="1">
      <c r="A138" s="13">
        <v>133</v>
      </c>
      <c r="B138" s="47" t="str">
        <f>RIGHT("a10050285",LEN("a10050285")-1)</f>
        <v>10050285</v>
      </c>
      <c r="C138" s="48" t="s">
        <v>138</v>
      </c>
      <c r="D138" s="47" t="str">
        <f>RIGHT("a20/11/1992",LEN("a20/11/1992")-1)</f>
        <v>20/11/1992</v>
      </c>
      <c r="E138" s="49" t="s">
        <v>130</v>
      </c>
      <c r="F138" s="50">
        <v>3.4</v>
      </c>
      <c r="G138" s="50">
        <v>82</v>
      </c>
      <c r="H138" s="50" t="s">
        <v>11</v>
      </c>
      <c r="I138" s="51">
        <v>330000</v>
      </c>
      <c r="J138" s="52">
        <f aca="true" t="shared" si="4" ref="J138:J169">I138*5</f>
        <v>1650000</v>
      </c>
      <c r="K138" s="18"/>
    </row>
    <row r="139" spans="1:11" s="8" customFormat="1" ht="18" customHeight="1">
      <c r="A139" s="13">
        <v>134</v>
      </c>
      <c r="B139" s="47" t="str">
        <f>RIGHT("a10050358",LEN("a10050358")-1)</f>
        <v>10050358</v>
      </c>
      <c r="C139" s="48" t="s">
        <v>139</v>
      </c>
      <c r="D139" s="47" t="str">
        <f>RIGHT("a29/03/1992",LEN("a29/03/1992")-1)</f>
        <v>29/03/1992</v>
      </c>
      <c r="E139" s="49" t="s">
        <v>130</v>
      </c>
      <c r="F139" s="50">
        <v>3.37</v>
      </c>
      <c r="G139" s="50">
        <v>89</v>
      </c>
      <c r="H139" s="50" t="s">
        <v>11</v>
      </c>
      <c r="I139" s="51">
        <v>330000</v>
      </c>
      <c r="J139" s="52">
        <f t="shared" si="4"/>
        <v>1650000</v>
      </c>
      <c r="K139" s="18"/>
    </row>
    <row r="140" spans="1:11" s="8" customFormat="1" ht="18" customHeight="1">
      <c r="A140" s="13">
        <v>135</v>
      </c>
      <c r="B140" s="47" t="str">
        <f>RIGHT("a10050144",LEN("a10050144")-1)</f>
        <v>10050144</v>
      </c>
      <c r="C140" s="48" t="s">
        <v>140</v>
      </c>
      <c r="D140" s="47" t="str">
        <f>RIGHT("a13/05/1992",LEN("a13/05/1992")-1)</f>
        <v>13/05/1992</v>
      </c>
      <c r="E140" s="49" t="s">
        <v>130</v>
      </c>
      <c r="F140" s="50">
        <v>3.35</v>
      </c>
      <c r="G140" s="50">
        <v>79</v>
      </c>
      <c r="H140" s="50" t="s">
        <v>10</v>
      </c>
      <c r="I140" s="51">
        <v>290000</v>
      </c>
      <c r="J140" s="52">
        <f t="shared" si="4"/>
        <v>1450000</v>
      </c>
      <c r="K140" s="18"/>
    </row>
    <row r="141" spans="1:11" s="8" customFormat="1" ht="18" customHeight="1">
      <c r="A141" s="13">
        <v>136</v>
      </c>
      <c r="B141" s="47" t="str">
        <f>RIGHT("a10050580",LEN("a10050580")-1)</f>
        <v>10050580</v>
      </c>
      <c r="C141" s="48" t="s">
        <v>141</v>
      </c>
      <c r="D141" s="47" t="str">
        <f>RIGHT("a01/10/1992",LEN("a01/10/1992")-1)</f>
        <v>01/10/1992</v>
      </c>
      <c r="E141" s="49" t="s">
        <v>130</v>
      </c>
      <c r="F141" s="50">
        <v>3.33</v>
      </c>
      <c r="G141" s="50">
        <v>89</v>
      </c>
      <c r="H141" s="50" t="s">
        <v>11</v>
      </c>
      <c r="I141" s="51">
        <v>330000</v>
      </c>
      <c r="J141" s="52">
        <f t="shared" si="4"/>
        <v>1650000</v>
      </c>
      <c r="K141" s="18"/>
    </row>
    <row r="142" spans="1:11" s="8" customFormat="1" ht="18" customHeight="1">
      <c r="A142" s="13">
        <v>137</v>
      </c>
      <c r="B142" s="47" t="str">
        <f>RIGHT("a10050080",LEN("a10050080")-1)</f>
        <v>10050080</v>
      </c>
      <c r="C142" s="48" t="s">
        <v>142</v>
      </c>
      <c r="D142" s="47" t="str">
        <f>RIGHT("a25/02/1992",LEN("a25/02/1992")-1)</f>
        <v>25/02/1992</v>
      </c>
      <c r="E142" s="49" t="s">
        <v>130</v>
      </c>
      <c r="F142" s="50">
        <v>3.32</v>
      </c>
      <c r="G142" s="50">
        <v>89</v>
      </c>
      <c r="H142" s="50" t="s">
        <v>11</v>
      </c>
      <c r="I142" s="51">
        <v>330000</v>
      </c>
      <c r="J142" s="52">
        <f t="shared" si="4"/>
        <v>1650000</v>
      </c>
      <c r="K142" s="18"/>
    </row>
    <row r="143" spans="1:11" s="8" customFormat="1" ht="18" customHeight="1">
      <c r="A143" s="13">
        <v>138</v>
      </c>
      <c r="B143" s="47" t="str">
        <f>RIGHT("a10050114",LEN("a10050114")-1)</f>
        <v>10050114</v>
      </c>
      <c r="C143" s="48" t="s">
        <v>143</v>
      </c>
      <c r="D143" s="47" t="str">
        <f>RIGHT("a04/07/1992",LEN("a04/07/1992")-1)</f>
        <v>04/07/1992</v>
      </c>
      <c r="E143" s="49" t="s">
        <v>130</v>
      </c>
      <c r="F143" s="50">
        <v>3.31</v>
      </c>
      <c r="G143" s="50">
        <v>79</v>
      </c>
      <c r="H143" s="50" t="s">
        <v>10</v>
      </c>
      <c r="I143" s="51">
        <v>290000</v>
      </c>
      <c r="J143" s="52">
        <f t="shared" si="4"/>
        <v>1450000</v>
      </c>
      <c r="K143" s="18"/>
    </row>
    <row r="144" spans="1:11" s="8" customFormat="1" ht="18" customHeight="1">
      <c r="A144" s="13">
        <v>139</v>
      </c>
      <c r="B144" s="47" t="str">
        <f>RIGHT("a10050584",LEN("a10050584")-1)</f>
        <v>10050584</v>
      </c>
      <c r="C144" s="48" t="s">
        <v>144</v>
      </c>
      <c r="D144" s="47" t="str">
        <f>RIGHT("a19/08/1991",LEN("a19/08/1991")-1)</f>
        <v>19/08/1991</v>
      </c>
      <c r="E144" s="49" t="s">
        <v>130</v>
      </c>
      <c r="F144" s="50">
        <v>3.31</v>
      </c>
      <c r="G144" s="50">
        <v>79</v>
      </c>
      <c r="H144" s="50" t="s">
        <v>10</v>
      </c>
      <c r="I144" s="51">
        <v>290000</v>
      </c>
      <c r="J144" s="52">
        <f t="shared" si="4"/>
        <v>1450000</v>
      </c>
      <c r="K144" s="18"/>
    </row>
    <row r="145" spans="1:11" s="8" customFormat="1" ht="18" customHeight="1">
      <c r="A145" s="13">
        <v>140</v>
      </c>
      <c r="B145" s="47" t="str">
        <f>RIGHT("a10050107",LEN("a10050107")-1)</f>
        <v>10050107</v>
      </c>
      <c r="C145" s="48" t="s">
        <v>145</v>
      </c>
      <c r="D145" s="47" t="str">
        <f>RIGHT("a23/08/1991",LEN("a23/08/1991")-1)</f>
        <v>23/08/1991</v>
      </c>
      <c r="E145" s="49" t="s">
        <v>130</v>
      </c>
      <c r="F145" s="50">
        <v>3.3</v>
      </c>
      <c r="G145" s="50">
        <v>79</v>
      </c>
      <c r="H145" s="50" t="s">
        <v>10</v>
      </c>
      <c r="I145" s="51">
        <v>290000</v>
      </c>
      <c r="J145" s="52">
        <f t="shared" si="4"/>
        <v>1450000</v>
      </c>
      <c r="K145" s="18"/>
    </row>
    <row r="146" spans="1:11" s="8" customFormat="1" ht="18" customHeight="1">
      <c r="A146" s="13">
        <v>141</v>
      </c>
      <c r="B146" s="57" t="s">
        <v>260</v>
      </c>
      <c r="C146" s="48" t="s">
        <v>261</v>
      </c>
      <c r="D146" s="58">
        <v>33810</v>
      </c>
      <c r="E146" s="49" t="s">
        <v>130</v>
      </c>
      <c r="F146" s="50">
        <v>3.29</v>
      </c>
      <c r="G146" s="50">
        <v>89</v>
      </c>
      <c r="H146" s="50" t="s">
        <v>11</v>
      </c>
      <c r="I146" s="51">
        <v>330000</v>
      </c>
      <c r="J146" s="52">
        <f t="shared" si="4"/>
        <v>1650000</v>
      </c>
      <c r="K146" s="18"/>
    </row>
    <row r="147" spans="1:11" s="8" customFormat="1" ht="18" customHeight="1">
      <c r="A147" s="13">
        <v>142</v>
      </c>
      <c r="B147" s="47" t="str">
        <f>RIGHT("a11050113",LEN("a11050113")-1)</f>
        <v>11050113</v>
      </c>
      <c r="C147" s="48" t="s">
        <v>146</v>
      </c>
      <c r="D147" s="47" t="str">
        <f>RIGHT("a05/11/1993",LEN("a05/11/1993")-1)</f>
        <v>05/11/1993</v>
      </c>
      <c r="E147" s="49" t="s">
        <v>147</v>
      </c>
      <c r="F147" s="50">
        <v>3.82</v>
      </c>
      <c r="G147" s="50">
        <v>91</v>
      </c>
      <c r="H147" s="50" t="s">
        <v>12</v>
      </c>
      <c r="I147" s="51">
        <v>370000</v>
      </c>
      <c r="J147" s="52">
        <f t="shared" si="4"/>
        <v>1850000</v>
      </c>
      <c r="K147" s="18"/>
    </row>
    <row r="148" spans="1:11" s="8" customFormat="1" ht="18" customHeight="1">
      <c r="A148" s="13">
        <v>143</v>
      </c>
      <c r="B148" s="47" t="str">
        <f>RIGHT("a11050233",LEN("a11050233")-1)</f>
        <v>11050233</v>
      </c>
      <c r="C148" s="48" t="s">
        <v>148</v>
      </c>
      <c r="D148" s="47" t="str">
        <f>RIGHT("a26/03/1993",LEN("a26/03/1993")-1)</f>
        <v>26/03/1993</v>
      </c>
      <c r="E148" s="49" t="s">
        <v>147</v>
      </c>
      <c r="F148" s="50">
        <v>3.64</v>
      </c>
      <c r="G148" s="50">
        <v>81</v>
      </c>
      <c r="H148" s="50" t="s">
        <v>11</v>
      </c>
      <c r="I148" s="51">
        <v>330000</v>
      </c>
      <c r="J148" s="52">
        <f t="shared" si="4"/>
        <v>1650000</v>
      </c>
      <c r="K148" s="18"/>
    </row>
    <row r="149" spans="1:11" s="8" customFormat="1" ht="18" customHeight="1">
      <c r="A149" s="13">
        <v>144</v>
      </c>
      <c r="B149" s="47" t="str">
        <f>RIGHT("a11050054",LEN("a11050054")-1)</f>
        <v>11050054</v>
      </c>
      <c r="C149" s="48" t="s">
        <v>149</v>
      </c>
      <c r="D149" s="47" t="str">
        <f>RIGHT("a16/09/1993",LEN("a16/09/1993")-1)</f>
        <v>16/09/1993</v>
      </c>
      <c r="E149" s="49" t="s">
        <v>147</v>
      </c>
      <c r="F149" s="50">
        <v>3.59</v>
      </c>
      <c r="G149" s="50">
        <v>89</v>
      </c>
      <c r="H149" s="50" t="s">
        <v>11</v>
      </c>
      <c r="I149" s="51">
        <v>330000</v>
      </c>
      <c r="J149" s="52">
        <f t="shared" si="4"/>
        <v>1650000</v>
      </c>
      <c r="K149" s="18"/>
    </row>
    <row r="150" spans="1:11" s="8" customFormat="1" ht="18" customHeight="1">
      <c r="A150" s="13">
        <v>145</v>
      </c>
      <c r="B150" s="47" t="str">
        <f>RIGHT("a11050004",LEN("a11050004")-1)</f>
        <v>11050004</v>
      </c>
      <c r="C150" s="48" t="s">
        <v>150</v>
      </c>
      <c r="D150" s="47" t="str">
        <f>RIGHT("a02/06/1993",LEN("a02/06/1993")-1)</f>
        <v>02/06/1993</v>
      </c>
      <c r="E150" s="49" t="s">
        <v>147</v>
      </c>
      <c r="F150" s="50">
        <v>3.57</v>
      </c>
      <c r="G150" s="50">
        <v>84</v>
      </c>
      <c r="H150" s="50" t="s">
        <v>11</v>
      </c>
      <c r="I150" s="51">
        <v>330000</v>
      </c>
      <c r="J150" s="52">
        <f t="shared" si="4"/>
        <v>1650000</v>
      </c>
      <c r="K150" s="18"/>
    </row>
    <row r="151" spans="1:11" s="8" customFormat="1" ht="18" customHeight="1">
      <c r="A151" s="13">
        <v>146</v>
      </c>
      <c r="B151" s="47" t="str">
        <f>RIGHT("a11050324",LEN("a11050324")-1)</f>
        <v>11050324</v>
      </c>
      <c r="C151" s="48" t="s">
        <v>151</v>
      </c>
      <c r="D151" s="47" t="str">
        <f>RIGHT("a21/03/1993",LEN("a21/03/1993")-1)</f>
        <v>21/03/1993</v>
      </c>
      <c r="E151" s="49" t="s">
        <v>147</v>
      </c>
      <c r="F151" s="50">
        <v>3.57</v>
      </c>
      <c r="G151" s="50">
        <v>79</v>
      </c>
      <c r="H151" s="50" t="s">
        <v>10</v>
      </c>
      <c r="I151" s="51">
        <v>290000</v>
      </c>
      <c r="J151" s="52">
        <f t="shared" si="4"/>
        <v>1450000</v>
      </c>
      <c r="K151" s="18"/>
    </row>
    <row r="152" spans="1:11" s="8" customFormat="1" ht="18" customHeight="1">
      <c r="A152" s="13">
        <v>147</v>
      </c>
      <c r="B152" s="47" t="str">
        <f>RIGHT("a11050322",LEN("a11050322")-1)</f>
        <v>11050322</v>
      </c>
      <c r="C152" s="48" t="s">
        <v>152</v>
      </c>
      <c r="D152" s="47" t="str">
        <f>RIGHT("a22/02/1993",LEN("a22/02/1993")-1)</f>
        <v>22/02/1993</v>
      </c>
      <c r="E152" s="49" t="s">
        <v>147</v>
      </c>
      <c r="F152" s="50">
        <v>3.55</v>
      </c>
      <c r="G152" s="50">
        <v>77</v>
      </c>
      <c r="H152" s="50" t="s">
        <v>10</v>
      </c>
      <c r="I152" s="51">
        <v>290000</v>
      </c>
      <c r="J152" s="52">
        <f t="shared" si="4"/>
        <v>1450000</v>
      </c>
      <c r="K152" s="18"/>
    </row>
    <row r="153" spans="1:11" s="8" customFormat="1" ht="18" customHeight="1">
      <c r="A153" s="13">
        <v>148</v>
      </c>
      <c r="B153" s="47" t="str">
        <f>RIGHT("a11050332",LEN("a11050332")-1)</f>
        <v>11050332</v>
      </c>
      <c r="C153" s="48" t="s">
        <v>153</v>
      </c>
      <c r="D153" s="47" t="str">
        <f>RIGHT("a20/12/1993",LEN("a20/12/1993")-1)</f>
        <v>20/12/1993</v>
      </c>
      <c r="E153" s="49" t="s">
        <v>147</v>
      </c>
      <c r="F153" s="50">
        <v>3.54</v>
      </c>
      <c r="G153" s="50">
        <v>79</v>
      </c>
      <c r="H153" s="50" t="s">
        <v>10</v>
      </c>
      <c r="I153" s="51">
        <v>290000</v>
      </c>
      <c r="J153" s="52">
        <f t="shared" si="4"/>
        <v>1450000</v>
      </c>
      <c r="K153" s="18"/>
    </row>
    <row r="154" spans="1:11" s="8" customFormat="1" ht="18" customHeight="1">
      <c r="A154" s="13">
        <v>149</v>
      </c>
      <c r="B154" s="47" t="str">
        <f>RIGHT("a11050218",LEN("a11050218")-1)</f>
        <v>11050218</v>
      </c>
      <c r="C154" s="48" t="s">
        <v>154</v>
      </c>
      <c r="D154" s="47" t="str">
        <f>RIGHT("a28/06/1993",LEN("a28/06/1993")-1)</f>
        <v>28/06/1993</v>
      </c>
      <c r="E154" s="49" t="s">
        <v>147</v>
      </c>
      <c r="F154" s="50">
        <v>3.53</v>
      </c>
      <c r="G154" s="50">
        <v>79</v>
      </c>
      <c r="H154" s="50" t="s">
        <v>10</v>
      </c>
      <c r="I154" s="51">
        <v>290000</v>
      </c>
      <c r="J154" s="52">
        <f t="shared" si="4"/>
        <v>1450000</v>
      </c>
      <c r="K154" s="18"/>
    </row>
    <row r="155" spans="1:11" s="8" customFormat="1" ht="18" customHeight="1">
      <c r="A155" s="13">
        <v>150</v>
      </c>
      <c r="B155" s="57" t="s">
        <v>273</v>
      </c>
      <c r="C155" s="48" t="s">
        <v>274</v>
      </c>
      <c r="D155" s="58">
        <v>34111</v>
      </c>
      <c r="E155" s="49" t="s">
        <v>147</v>
      </c>
      <c r="F155" s="50">
        <v>3.53</v>
      </c>
      <c r="G155" s="50">
        <v>79</v>
      </c>
      <c r="H155" s="50" t="s">
        <v>10</v>
      </c>
      <c r="I155" s="51">
        <v>290000</v>
      </c>
      <c r="J155" s="52">
        <f t="shared" si="4"/>
        <v>1450000</v>
      </c>
      <c r="K155" s="18"/>
    </row>
    <row r="156" spans="1:11" s="8" customFormat="1" ht="18" customHeight="1">
      <c r="A156" s="13">
        <v>151</v>
      </c>
      <c r="B156" s="47" t="str">
        <f>RIGHT("a11050079",LEN("a11050079")-1)</f>
        <v>11050079</v>
      </c>
      <c r="C156" s="48" t="s">
        <v>155</v>
      </c>
      <c r="D156" s="47" t="str">
        <f>RIGHT("a20/03/1993",LEN("a20/03/1993")-1)</f>
        <v>20/03/1993</v>
      </c>
      <c r="E156" s="49" t="s">
        <v>156</v>
      </c>
      <c r="F156" s="50">
        <v>3.81</v>
      </c>
      <c r="G156" s="50">
        <v>81</v>
      </c>
      <c r="H156" s="50" t="s">
        <v>11</v>
      </c>
      <c r="I156" s="51">
        <v>330000</v>
      </c>
      <c r="J156" s="52">
        <f t="shared" si="4"/>
        <v>1650000</v>
      </c>
      <c r="K156" s="18"/>
    </row>
    <row r="157" spans="1:11" s="8" customFormat="1" ht="18" customHeight="1">
      <c r="A157" s="13">
        <v>152</v>
      </c>
      <c r="B157" s="47" t="str">
        <f>RIGHT("a11050238",LEN("a11050238")-1)</f>
        <v>11050238</v>
      </c>
      <c r="C157" s="48" t="s">
        <v>157</v>
      </c>
      <c r="D157" s="47" t="str">
        <f>RIGHT("a26/08/1993",LEN("a26/08/1993")-1)</f>
        <v>26/08/1993</v>
      </c>
      <c r="E157" s="49" t="s">
        <v>156</v>
      </c>
      <c r="F157" s="50">
        <v>3.6</v>
      </c>
      <c r="G157" s="50">
        <v>81</v>
      </c>
      <c r="H157" s="50" t="s">
        <v>11</v>
      </c>
      <c r="I157" s="51">
        <v>330000</v>
      </c>
      <c r="J157" s="52">
        <f t="shared" si="4"/>
        <v>1650000</v>
      </c>
      <c r="K157" s="18"/>
    </row>
    <row r="158" spans="1:11" s="8" customFormat="1" ht="18" customHeight="1">
      <c r="A158" s="13">
        <v>153</v>
      </c>
      <c r="B158" s="47" t="str">
        <f>RIGHT("a11050029",LEN("a11050029")-1)</f>
        <v>11050029</v>
      </c>
      <c r="C158" s="48" t="s">
        <v>158</v>
      </c>
      <c r="D158" s="47" t="str">
        <f>RIGHT("a06/08/1993",LEN("a06/08/1993")-1)</f>
        <v>06/08/1993</v>
      </c>
      <c r="E158" s="49" t="s">
        <v>156</v>
      </c>
      <c r="F158" s="50">
        <v>3.6</v>
      </c>
      <c r="G158" s="50">
        <v>76</v>
      </c>
      <c r="H158" s="50" t="s">
        <v>10</v>
      </c>
      <c r="I158" s="51">
        <v>290000</v>
      </c>
      <c r="J158" s="52">
        <f t="shared" si="4"/>
        <v>1450000</v>
      </c>
      <c r="K158" s="18"/>
    </row>
    <row r="159" spans="1:11" s="8" customFormat="1" ht="18" customHeight="1">
      <c r="A159" s="13">
        <v>154</v>
      </c>
      <c r="B159" s="47" t="str">
        <f>RIGHT("a11050273",LEN("a11050273")-1)</f>
        <v>11050273</v>
      </c>
      <c r="C159" s="48" t="s">
        <v>159</v>
      </c>
      <c r="D159" s="47" t="str">
        <f>RIGHT("a02/10/1991",LEN("a02/10/1991")-1)</f>
        <v>02/10/1991</v>
      </c>
      <c r="E159" s="49" t="s">
        <v>156</v>
      </c>
      <c r="F159" s="50">
        <v>3.58</v>
      </c>
      <c r="G159" s="50">
        <v>77</v>
      </c>
      <c r="H159" s="50" t="s">
        <v>10</v>
      </c>
      <c r="I159" s="51">
        <v>290000</v>
      </c>
      <c r="J159" s="52">
        <f t="shared" si="4"/>
        <v>1450000</v>
      </c>
      <c r="K159" s="18"/>
    </row>
    <row r="160" spans="1:11" s="8" customFormat="1" ht="18" customHeight="1">
      <c r="A160" s="13">
        <v>155</v>
      </c>
      <c r="B160" s="47" t="str">
        <f>RIGHT("a11050275",LEN("a11050275")-1)</f>
        <v>11050275</v>
      </c>
      <c r="C160" s="48" t="s">
        <v>160</v>
      </c>
      <c r="D160" s="47" t="str">
        <f>RIGHT("a15/06/1993",LEN("a15/06/1993")-1)</f>
        <v>15/06/1993</v>
      </c>
      <c r="E160" s="49" t="s">
        <v>156</v>
      </c>
      <c r="F160" s="50">
        <v>3.56</v>
      </c>
      <c r="G160" s="50">
        <v>79</v>
      </c>
      <c r="H160" s="50" t="s">
        <v>10</v>
      </c>
      <c r="I160" s="51">
        <v>290000</v>
      </c>
      <c r="J160" s="52">
        <f t="shared" si="4"/>
        <v>1450000</v>
      </c>
      <c r="K160" s="18"/>
    </row>
    <row r="161" spans="1:11" s="8" customFormat="1" ht="18" customHeight="1">
      <c r="A161" s="13">
        <v>156</v>
      </c>
      <c r="B161" s="47" t="str">
        <f>RIGHT("a11050181",LEN("a11050181")-1)</f>
        <v>11050181</v>
      </c>
      <c r="C161" s="48" t="s">
        <v>161</v>
      </c>
      <c r="D161" s="47" t="str">
        <f>RIGHT("a19/02/1993",LEN("a19/02/1993")-1)</f>
        <v>19/02/1993</v>
      </c>
      <c r="E161" s="49" t="s">
        <v>156</v>
      </c>
      <c r="F161" s="50">
        <v>3.53</v>
      </c>
      <c r="G161" s="50">
        <v>74</v>
      </c>
      <c r="H161" s="50" t="s">
        <v>10</v>
      </c>
      <c r="I161" s="51">
        <v>290000</v>
      </c>
      <c r="J161" s="52">
        <f t="shared" si="4"/>
        <v>1450000</v>
      </c>
      <c r="K161" s="18"/>
    </row>
    <row r="162" spans="1:11" s="8" customFormat="1" ht="18" customHeight="1">
      <c r="A162" s="13">
        <v>157</v>
      </c>
      <c r="B162" s="47" t="str">
        <f>RIGHT("a11050272",LEN("a11050272")-1)</f>
        <v>11050272</v>
      </c>
      <c r="C162" s="48" t="s">
        <v>162</v>
      </c>
      <c r="D162" s="47" t="str">
        <f>RIGHT("a13/04/1993",LEN("a13/04/1993")-1)</f>
        <v>13/04/1993</v>
      </c>
      <c r="E162" s="49" t="s">
        <v>156</v>
      </c>
      <c r="F162" s="50">
        <v>3.5</v>
      </c>
      <c r="G162" s="50">
        <v>74</v>
      </c>
      <c r="H162" s="50" t="s">
        <v>10</v>
      </c>
      <c r="I162" s="51">
        <v>290000</v>
      </c>
      <c r="J162" s="52">
        <f t="shared" si="4"/>
        <v>1450000</v>
      </c>
      <c r="K162" s="18"/>
    </row>
    <row r="163" spans="1:11" s="8" customFormat="1" ht="18" customHeight="1">
      <c r="A163" s="13">
        <v>158</v>
      </c>
      <c r="B163" s="47" t="str">
        <f>RIGHT("a11050245",LEN("a11050245")-1)</f>
        <v>11050245</v>
      </c>
      <c r="C163" s="48" t="s">
        <v>163</v>
      </c>
      <c r="D163" s="47" t="str">
        <f>RIGHT("a06/08/1993",LEN("a06/08/1993")-1)</f>
        <v>06/08/1993</v>
      </c>
      <c r="E163" s="49" t="s">
        <v>156</v>
      </c>
      <c r="F163" s="50">
        <v>3.42</v>
      </c>
      <c r="G163" s="50">
        <v>89</v>
      </c>
      <c r="H163" s="50" t="s">
        <v>11</v>
      </c>
      <c r="I163" s="51">
        <v>330000</v>
      </c>
      <c r="J163" s="52">
        <f t="shared" si="4"/>
        <v>1650000</v>
      </c>
      <c r="K163" s="18"/>
    </row>
    <row r="164" spans="1:11" s="8" customFormat="1" ht="18" customHeight="1">
      <c r="A164" s="13">
        <v>159</v>
      </c>
      <c r="B164" s="47" t="str">
        <f>RIGHT("a11050337",LEN("a11050337")-1)</f>
        <v>11050337</v>
      </c>
      <c r="C164" s="48" t="s">
        <v>164</v>
      </c>
      <c r="D164" s="47" t="str">
        <f>RIGHT("a12/09/1993",LEN("a12/09/1993")-1)</f>
        <v>12/09/1993</v>
      </c>
      <c r="E164" s="49" t="s">
        <v>165</v>
      </c>
      <c r="F164" s="50">
        <v>3.77</v>
      </c>
      <c r="G164" s="50">
        <v>74</v>
      </c>
      <c r="H164" s="50" t="s">
        <v>10</v>
      </c>
      <c r="I164" s="51">
        <v>290000</v>
      </c>
      <c r="J164" s="52">
        <f t="shared" si="4"/>
        <v>1450000</v>
      </c>
      <c r="K164" s="18"/>
    </row>
    <row r="165" spans="1:11" s="8" customFormat="1" ht="18" customHeight="1">
      <c r="A165" s="13">
        <v>160</v>
      </c>
      <c r="B165" s="47" t="str">
        <f>RIGHT("a11050401",LEN("a11050401")-1)</f>
        <v>11050401</v>
      </c>
      <c r="C165" s="48" t="s">
        <v>166</v>
      </c>
      <c r="D165" s="47" t="str">
        <f>RIGHT("a06/04/1993",LEN("a06/04/1993")-1)</f>
        <v>06/04/1993</v>
      </c>
      <c r="E165" s="49" t="s">
        <v>165</v>
      </c>
      <c r="F165" s="50">
        <v>3.72</v>
      </c>
      <c r="G165" s="50">
        <v>77</v>
      </c>
      <c r="H165" s="50" t="s">
        <v>10</v>
      </c>
      <c r="I165" s="51">
        <v>290000</v>
      </c>
      <c r="J165" s="52">
        <f t="shared" si="4"/>
        <v>1450000</v>
      </c>
      <c r="K165" s="18"/>
    </row>
    <row r="166" spans="1:11" s="8" customFormat="1" ht="18" customHeight="1">
      <c r="A166" s="13">
        <v>161</v>
      </c>
      <c r="B166" s="47" t="str">
        <f>RIGHT("a11050288",LEN("a11050288")-1)</f>
        <v>11050288</v>
      </c>
      <c r="C166" s="48" t="s">
        <v>167</v>
      </c>
      <c r="D166" s="47" t="str">
        <f>RIGHT("a08/11/1993",LEN("a08/11/1993")-1)</f>
        <v>08/11/1993</v>
      </c>
      <c r="E166" s="49" t="s">
        <v>165</v>
      </c>
      <c r="F166" s="50">
        <v>3.69</v>
      </c>
      <c r="G166" s="50">
        <v>77</v>
      </c>
      <c r="H166" s="50" t="s">
        <v>10</v>
      </c>
      <c r="I166" s="51">
        <v>290000</v>
      </c>
      <c r="J166" s="52">
        <f t="shared" si="4"/>
        <v>1450000</v>
      </c>
      <c r="K166" s="18"/>
    </row>
    <row r="167" spans="1:11" s="8" customFormat="1" ht="18" customHeight="1">
      <c r="A167" s="13">
        <v>162</v>
      </c>
      <c r="B167" s="47" t="str">
        <f>RIGHT("a11050292",LEN("a11050292")-1)</f>
        <v>11050292</v>
      </c>
      <c r="C167" s="48" t="s">
        <v>168</v>
      </c>
      <c r="D167" s="47" t="str">
        <f>RIGHT("a30/09/1992",LEN("a30/09/1992")-1)</f>
        <v>30/09/1992</v>
      </c>
      <c r="E167" s="49" t="s">
        <v>165</v>
      </c>
      <c r="F167" s="50">
        <v>3.61</v>
      </c>
      <c r="G167" s="50">
        <v>74</v>
      </c>
      <c r="H167" s="50" t="s">
        <v>10</v>
      </c>
      <c r="I167" s="51">
        <v>290000</v>
      </c>
      <c r="J167" s="52">
        <f t="shared" si="4"/>
        <v>1450000</v>
      </c>
      <c r="K167" s="18"/>
    </row>
    <row r="168" spans="1:11" s="8" customFormat="1" ht="18" customHeight="1">
      <c r="A168" s="13">
        <v>163</v>
      </c>
      <c r="B168" s="47" t="str">
        <f>RIGHT("a11050290",LEN("a11050290")-1)</f>
        <v>11050290</v>
      </c>
      <c r="C168" s="48" t="s">
        <v>169</v>
      </c>
      <c r="D168" s="47" t="str">
        <f>RIGHT("a24/12/1993",LEN("a24/12/1993")-1)</f>
        <v>24/12/1993</v>
      </c>
      <c r="E168" s="49" t="s">
        <v>165</v>
      </c>
      <c r="F168" s="50">
        <v>3.6</v>
      </c>
      <c r="G168" s="50">
        <v>89</v>
      </c>
      <c r="H168" s="50" t="s">
        <v>11</v>
      </c>
      <c r="I168" s="51">
        <v>330000</v>
      </c>
      <c r="J168" s="52">
        <f t="shared" si="4"/>
        <v>1650000</v>
      </c>
      <c r="K168" s="18"/>
    </row>
    <row r="169" spans="1:11" s="8" customFormat="1" ht="18" customHeight="1">
      <c r="A169" s="13">
        <v>164</v>
      </c>
      <c r="B169" s="47" t="str">
        <f>RIGHT("a11050316",LEN("a11050316")-1)</f>
        <v>11050316</v>
      </c>
      <c r="C169" s="48" t="s">
        <v>170</v>
      </c>
      <c r="D169" s="47" t="str">
        <f>RIGHT("a27/05/1993",LEN("a27/05/1993")-1)</f>
        <v>27/05/1993</v>
      </c>
      <c r="E169" s="49" t="s">
        <v>165</v>
      </c>
      <c r="F169" s="50">
        <v>3.6</v>
      </c>
      <c r="G169" s="50">
        <v>89</v>
      </c>
      <c r="H169" s="50" t="s">
        <v>11</v>
      </c>
      <c r="I169" s="51">
        <v>330000</v>
      </c>
      <c r="J169" s="52">
        <f t="shared" si="4"/>
        <v>1650000</v>
      </c>
      <c r="K169" s="18"/>
    </row>
    <row r="170" spans="1:11" s="8" customFormat="1" ht="18" customHeight="1">
      <c r="A170" s="13">
        <v>165</v>
      </c>
      <c r="B170" s="47" t="str">
        <f>RIGHT("a11050403",LEN("a11050403")-1)</f>
        <v>11050403</v>
      </c>
      <c r="C170" s="48" t="s">
        <v>171</v>
      </c>
      <c r="D170" s="47" t="str">
        <f>RIGHT("a13/06/1993",LEN("a13/06/1993")-1)</f>
        <v>13/06/1993</v>
      </c>
      <c r="E170" s="49" t="s">
        <v>165</v>
      </c>
      <c r="F170" s="50">
        <v>3.56</v>
      </c>
      <c r="G170" s="50">
        <v>87</v>
      </c>
      <c r="H170" s="50" t="s">
        <v>11</v>
      </c>
      <c r="I170" s="51">
        <v>330000</v>
      </c>
      <c r="J170" s="52">
        <f aca="true" t="shared" si="5" ref="J170:J193">I170*5</f>
        <v>1650000</v>
      </c>
      <c r="K170" s="18"/>
    </row>
    <row r="171" spans="1:11" s="8" customFormat="1" ht="18" customHeight="1">
      <c r="A171" s="13">
        <v>166</v>
      </c>
      <c r="B171" s="47" t="str">
        <f>RIGHT("a11050409",LEN("a11050409")-1)</f>
        <v>11050409</v>
      </c>
      <c r="C171" s="48" t="s">
        <v>172</v>
      </c>
      <c r="D171" s="47" t="str">
        <f>RIGHT("a11/09/1993",LEN("a11/09/1993")-1)</f>
        <v>11/09/1993</v>
      </c>
      <c r="E171" s="49" t="s">
        <v>165</v>
      </c>
      <c r="F171" s="50">
        <v>3.47</v>
      </c>
      <c r="G171" s="50">
        <v>77</v>
      </c>
      <c r="H171" s="50" t="s">
        <v>10</v>
      </c>
      <c r="I171" s="51">
        <v>290000</v>
      </c>
      <c r="J171" s="52">
        <f t="shared" si="5"/>
        <v>1450000</v>
      </c>
      <c r="K171" s="18"/>
    </row>
    <row r="172" spans="1:11" s="8" customFormat="1" ht="18" customHeight="1">
      <c r="A172" s="13">
        <v>167</v>
      </c>
      <c r="B172" s="25" t="str">
        <f>RIGHT("a11050101",LEN("a11050101")-1)</f>
        <v>11050101</v>
      </c>
      <c r="C172" s="26" t="s">
        <v>173</v>
      </c>
      <c r="D172" s="25" t="str">
        <f>RIGHT("a01/06/1993",LEN("a01/06/1993")-1)</f>
        <v>01/06/1993</v>
      </c>
      <c r="E172" s="27" t="s">
        <v>174</v>
      </c>
      <c r="F172" s="28">
        <v>3.9</v>
      </c>
      <c r="G172" s="28">
        <v>81</v>
      </c>
      <c r="H172" s="28" t="s">
        <v>11</v>
      </c>
      <c r="I172" s="51">
        <v>330000</v>
      </c>
      <c r="J172" s="52">
        <f t="shared" si="5"/>
        <v>1650000</v>
      </c>
      <c r="K172" s="18"/>
    </row>
    <row r="173" spans="1:11" s="8" customFormat="1" ht="18" customHeight="1">
      <c r="A173" s="13">
        <v>168</v>
      </c>
      <c r="B173" s="25" t="str">
        <f>RIGHT("a11050118",LEN("a11050118")-1)</f>
        <v>11050118</v>
      </c>
      <c r="C173" s="26" t="s">
        <v>175</v>
      </c>
      <c r="D173" s="25" t="str">
        <f>RIGHT("a04/12/1993",LEN("a04/12/1993")-1)</f>
        <v>04/12/1993</v>
      </c>
      <c r="E173" s="27" t="s">
        <v>174</v>
      </c>
      <c r="F173" s="28">
        <v>3.86</v>
      </c>
      <c r="G173" s="28">
        <v>79</v>
      </c>
      <c r="H173" s="28" t="s">
        <v>10</v>
      </c>
      <c r="I173" s="51">
        <v>290000</v>
      </c>
      <c r="J173" s="52">
        <f t="shared" si="5"/>
        <v>1450000</v>
      </c>
      <c r="K173" s="18"/>
    </row>
    <row r="174" spans="1:11" s="8" customFormat="1" ht="18" customHeight="1">
      <c r="A174" s="13">
        <v>169</v>
      </c>
      <c r="B174" s="25" t="str">
        <f>RIGHT("a11050190",LEN("a11050190")-1)</f>
        <v>11050190</v>
      </c>
      <c r="C174" s="26" t="s">
        <v>176</v>
      </c>
      <c r="D174" s="25" t="str">
        <f>RIGHT("a11/12/1993",LEN("a11/12/1993")-1)</f>
        <v>11/12/1993</v>
      </c>
      <c r="E174" s="27" t="s">
        <v>174</v>
      </c>
      <c r="F174" s="28">
        <v>3.85</v>
      </c>
      <c r="G174" s="28">
        <v>81</v>
      </c>
      <c r="H174" s="28" t="s">
        <v>11</v>
      </c>
      <c r="I174" s="51">
        <v>330000</v>
      </c>
      <c r="J174" s="52">
        <f t="shared" si="5"/>
        <v>1650000</v>
      </c>
      <c r="K174" s="18"/>
    </row>
    <row r="175" spans="1:11" s="8" customFormat="1" ht="18" customHeight="1">
      <c r="A175" s="13">
        <v>170</v>
      </c>
      <c r="B175" s="25" t="str">
        <f>RIGHT("a11050021",LEN("a11050021")-1)</f>
        <v>11050021</v>
      </c>
      <c r="C175" s="26" t="s">
        <v>178</v>
      </c>
      <c r="D175" s="25" t="str">
        <f>RIGHT("a07/07/1993",LEN("a07/07/1993")-1)</f>
        <v>07/07/1993</v>
      </c>
      <c r="E175" s="27" t="s">
        <v>174</v>
      </c>
      <c r="F175" s="28">
        <v>3.81</v>
      </c>
      <c r="G175" s="28">
        <v>84</v>
      </c>
      <c r="H175" s="28" t="s">
        <v>11</v>
      </c>
      <c r="I175" s="51">
        <v>330000</v>
      </c>
      <c r="J175" s="52">
        <f t="shared" si="5"/>
        <v>1650000</v>
      </c>
      <c r="K175" s="18"/>
    </row>
    <row r="176" spans="1:11" s="8" customFormat="1" ht="18" customHeight="1">
      <c r="A176" s="13">
        <v>171</v>
      </c>
      <c r="B176" s="25" t="str">
        <f>RIGHT("a11050416",LEN("a11050416")-1)</f>
        <v>11050416</v>
      </c>
      <c r="C176" s="26" t="s">
        <v>177</v>
      </c>
      <c r="D176" s="25" t="str">
        <f>RIGHT("a17/11/1993",LEN("a17/11/1993")-1)</f>
        <v>17/11/1993</v>
      </c>
      <c r="E176" s="27" t="s">
        <v>174</v>
      </c>
      <c r="F176" s="28">
        <v>3.77</v>
      </c>
      <c r="G176" s="28">
        <v>91</v>
      </c>
      <c r="H176" s="28" t="s">
        <v>12</v>
      </c>
      <c r="I176" s="51">
        <v>370000</v>
      </c>
      <c r="J176" s="52">
        <f t="shared" si="5"/>
        <v>1850000</v>
      </c>
      <c r="K176" s="18"/>
    </row>
    <row r="177" spans="1:11" s="8" customFormat="1" ht="18" customHeight="1">
      <c r="A177" s="13">
        <v>172</v>
      </c>
      <c r="B177" s="25" t="str">
        <f>RIGHT("a11050134",LEN("a11050134")-1)</f>
        <v>11050134</v>
      </c>
      <c r="C177" s="26" t="s">
        <v>180</v>
      </c>
      <c r="D177" s="25" t="str">
        <f>RIGHT("a02/02/1993",LEN("a02/02/1993")-1)</f>
        <v>02/02/1993</v>
      </c>
      <c r="E177" s="27" t="s">
        <v>174</v>
      </c>
      <c r="F177" s="28">
        <v>3.77</v>
      </c>
      <c r="G177" s="28">
        <v>81</v>
      </c>
      <c r="H177" s="28" t="s">
        <v>11</v>
      </c>
      <c r="I177" s="51">
        <v>330000</v>
      </c>
      <c r="J177" s="52">
        <f t="shared" si="5"/>
        <v>1650000</v>
      </c>
      <c r="K177" s="18"/>
    </row>
    <row r="178" spans="1:11" s="8" customFormat="1" ht="18" customHeight="1">
      <c r="A178" s="13">
        <v>173</v>
      </c>
      <c r="B178" s="25" t="str">
        <f>RIGHT("a11050105",LEN("a11050105")-1)</f>
        <v>11050105</v>
      </c>
      <c r="C178" s="26" t="s">
        <v>179</v>
      </c>
      <c r="D178" s="25" t="str">
        <f>RIGHT("a15/01/1993",LEN("a15/01/1993")-1)</f>
        <v>15/01/1993</v>
      </c>
      <c r="E178" s="27" t="s">
        <v>174</v>
      </c>
      <c r="F178" s="28">
        <v>3.74</v>
      </c>
      <c r="G178" s="28">
        <v>89</v>
      </c>
      <c r="H178" s="28" t="s">
        <v>11</v>
      </c>
      <c r="I178" s="51">
        <v>330000</v>
      </c>
      <c r="J178" s="52">
        <f t="shared" si="5"/>
        <v>1650000</v>
      </c>
      <c r="K178" s="18"/>
    </row>
    <row r="179" spans="1:11" s="8" customFormat="1" ht="18" customHeight="1">
      <c r="A179" s="13">
        <v>174</v>
      </c>
      <c r="B179" s="25" t="str">
        <f>RIGHT("a11050318",LEN("a11050318")-1)</f>
        <v>11050318</v>
      </c>
      <c r="C179" s="26" t="s">
        <v>181</v>
      </c>
      <c r="D179" s="25" t="str">
        <f>RIGHT("a15/07/1993",LEN("a15/07/1993")-1)</f>
        <v>15/07/1993</v>
      </c>
      <c r="E179" s="27" t="s">
        <v>174</v>
      </c>
      <c r="F179" s="28">
        <v>3.74</v>
      </c>
      <c r="G179" s="28">
        <v>81</v>
      </c>
      <c r="H179" s="28" t="s">
        <v>11</v>
      </c>
      <c r="I179" s="51">
        <v>330000</v>
      </c>
      <c r="J179" s="52">
        <f t="shared" si="5"/>
        <v>1650000</v>
      </c>
      <c r="K179" s="18"/>
    </row>
    <row r="180" spans="1:11" s="8" customFormat="1" ht="18" customHeight="1">
      <c r="A180" s="13">
        <v>175</v>
      </c>
      <c r="B180" s="25" t="str">
        <f>RIGHT("a11050334",LEN("a11050334")-1)</f>
        <v>11050334</v>
      </c>
      <c r="C180" s="26" t="s">
        <v>182</v>
      </c>
      <c r="D180" s="25" t="str">
        <f>RIGHT("a11/01/1993",LEN("a11/01/1993")-1)</f>
        <v>11/01/1993</v>
      </c>
      <c r="E180" s="27" t="s">
        <v>174</v>
      </c>
      <c r="F180" s="28">
        <v>3.73</v>
      </c>
      <c r="G180" s="28">
        <v>79</v>
      </c>
      <c r="H180" s="28" t="s">
        <v>10</v>
      </c>
      <c r="I180" s="51">
        <v>290000</v>
      </c>
      <c r="J180" s="52">
        <f t="shared" si="5"/>
        <v>1450000</v>
      </c>
      <c r="K180" s="18"/>
    </row>
    <row r="181" spans="1:11" s="8" customFormat="1" ht="18" customHeight="1">
      <c r="A181" s="13">
        <v>176</v>
      </c>
      <c r="B181" s="25" t="str">
        <f>RIGHT("a11050412",LEN("a11050412")-1)</f>
        <v>11050412</v>
      </c>
      <c r="C181" s="26" t="s">
        <v>303</v>
      </c>
      <c r="D181" s="25" t="str">
        <f>RIGHT("a11/06/1993",LEN("a11/06/1993")-1)</f>
        <v>11/06/1993</v>
      </c>
      <c r="E181" s="27" t="s">
        <v>174</v>
      </c>
      <c r="F181" s="28">
        <v>3.7</v>
      </c>
      <c r="G181" s="28">
        <v>81</v>
      </c>
      <c r="H181" s="28" t="s">
        <v>11</v>
      </c>
      <c r="I181" s="51">
        <v>330000</v>
      </c>
      <c r="J181" s="52">
        <f t="shared" si="5"/>
        <v>1650000</v>
      </c>
      <c r="K181" s="18"/>
    </row>
    <row r="182" spans="1:11" s="8" customFormat="1" ht="18" customHeight="1">
      <c r="A182" s="13">
        <v>177</v>
      </c>
      <c r="B182" s="47" t="str">
        <f>RIGHT("a11050135",LEN("a11050135")-1)</f>
        <v>11050135</v>
      </c>
      <c r="C182" s="48" t="s">
        <v>183</v>
      </c>
      <c r="D182" s="47" t="str">
        <f>RIGHT("a28/09/1993",LEN("a28/09/1993")-1)</f>
        <v>28/09/1993</v>
      </c>
      <c r="E182" s="49" t="s">
        <v>184</v>
      </c>
      <c r="F182" s="50">
        <v>3.79</v>
      </c>
      <c r="G182" s="50">
        <v>91</v>
      </c>
      <c r="H182" s="50" t="s">
        <v>12</v>
      </c>
      <c r="I182" s="51">
        <v>370000</v>
      </c>
      <c r="J182" s="52">
        <f t="shared" si="5"/>
        <v>1850000</v>
      </c>
      <c r="K182" s="18"/>
    </row>
    <row r="183" spans="1:11" s="8" customFormat="1" ht="18" customHeight="1">
      <c r="A183" s="13">
        <v>178</v>
      </c>
      <c r="B183" s="47" t="str">
        <f>RIGHT("a11050378",LEN("a11050378")-1)</f>
        <v>11050378</v>
      </c>
      <c r="C183" s="48" t="s">
        <v>185</v>
      </c>
      <c r="D183" s="47" t="str">
        <f>RIGHT("a29/08/1993",LEN("a29/08/1993")-1)</f>
        <v>29/08/1993</v>
      </c>
      <c r="E183" s="49" t="s">
        <v>184</v>
      </c>
      <c r="F183" s="50">
        <v>3.77</v>
      </c>
      <c r="G183" s="50">
        <v>81</v>
      </c>
      <c r="H183" s="50" t="s">
        <v>11</v>
      </c>
      <c r="I183" s="51">
        <v>330000</v>
      </c>
      <c r="J183" s="52">
        <f t="shared" si="5"/>
        <v>1650000</v>
      </c>
      <c r="K183" s="18"/>
    </row>
    <row r="184" spans="1:11" s="8" customFormat="1" ht="18" customHeight="1">
      <c r="A184" s="13">
        <v>179</v>
      </c>
      <c r="B184" s="47" t="str">
        <f>RIGHT("a11050111",LEN("a11050111")-1)</f>
        <v>11050111</v>
      </c>
      <c r="C184" s="48" t="s">
        <v>186</v>
      </c>
      <c r="D184" s="47" t="str">
        <f>RIGHT("a10/07/1989",LEN("a10/07/1989")-1)</f>
        <v>10/07/1989</v>
      </c>
      <c r="E184" s="49" t="s">
        <v>184</v>
      </c>
      <c r="F184" s="50">
        <v>3.74</v>
      </c>
      <c r="G184" s="50">
        <v>91</v>
      </c>
      <c r="H184" s="50" t="s">
        <v>12</v>
      </c>
      <c r="I184" s="51">
        <v>370000</v>
      </c>
      <c r="J184" s="52">
        <f t="shared" si="5"/>
        <v>1850000</v>
      </c>
      <c r="K184" s="18"/>
    </row>
    <row r="185" spans="1:11" s="8" customFormat="1" ht="18" customHeight="1">
      <c r="A185" s="13">
        <v>180</v>
      </c>
      <c r="B185" s="47" t="str">
        <f>RIGHT("a11050329",LEN("a11050329")-1)</f>
        <v>11050329</v>
      </c>
      <c r="C185" s="48" t="s">
        <v>187</v>
      </c>
      <c r="D185" s="47" t="str">
        <f>RIGHT("a22/03/1993",LEN("a22/03/1993")-1)</f>
        <v>22/03/1993</v>
      </c>
      <c r="E185" s="49" t="s">
        <v>184</v>
      </c>
      <c r="F185" s="50">
        <v>3.69</v>
      </c>
      <c r="G185" s="50">
        <v>84</v>
      </c>
      <c r="H185" s="50" t="s">
        <v>11</v>
      </c>
      <c r="I185" s="51">
        <v>330000</v>
      </c>
      <c r="J185" s="52">
        <f t="shared" si="5"/>
        <v>1650000</v>
      </c>
      <c r="K185" s="18"/>
    </row>
    <row r="186" spans="1:11" s="8" customFormat="1" ht="18" customHeight="1">
      <c r="A186" s="13">
        <v>181</v>
      </c>
      <c r="B186" s="47" t="str">
        <f>RIGHT("a11050147",LEN("a11050147")-1)</f>
        <v>11050147</v>
      </c>
      <c r="C186" s="48" t="s">
        <v>188</v>
      </c>
      <c r="D186" s="47" t="str">
        <f>RIGHT("a27/07/1993",LEN("a27/07/1993")-1)</f>
        <v>27/07/1993</v>
      </c>
      <c r="E186" s="49" t="s">
        <v>184</v>
      </c>
      <c r="F186" s="50">
        <v>3.67</v>
      </c>
      <c r="G186" s="50">
        <v>91</v>
      </c>
      <c r="H186" s="50" t="s">
        <v>12</v>
      </c>
      <c r="I186" s="51">
        <v>370000</v>
      </c>
      <c r="J186" s="52">
        <f t="shared" si="5"/>
        <v>1850000</v>
      </c>
      <c r="K186" s="12"/>
    </row>
    <row r="187" spans="1:11" s="8" customFormat="1" ht="18" customHeight="1">
      <c r="A187" s="13">
        <v>182</v>
      </c>
      <c r="B187" s="47" t="str">
        <f>RIGHT("a11050106",LEN("a11050106")-1)</f>
        <v>11050106</v>
      </c>
      <c r="C187" s="48" t="s">
        <v>189</v>
      </c>
      <c r="D187" s="47" t="str">
        <f>RIGHT("a14/11/1993",LEN("a14/11/1993")-1)</f>
        <v>14/11/1993</v>
      </c>
      <c r="E187" s="49" t="s">
        <v>184</v>
      </c>
      <c r="F187" s="50">
        <v>3.66</v>
      </c>
      <c r="G187" s="50">
        <v>84</v>
      </c>
      <c r="H187" s="50" t="s">
        <v>11</v>
      </c>
      <c r="I187" s="51">
        <v>330000</v>
      </c>
      <c r="J187" s="52">
        <f t="shared" si="5"/>
        <v>1650000</v>
      </c>
      <c r="K187" s="12"/>
    </row>
    <row r="188" spans="1:11" s="8" customFormat="1" ht="18" customHeight="1">
      <c r="A188" s="13">
        <v>183</v>
      </c>
      <c r="B188" s="47" t="str">
        <f>RIGHT("a11050077",LEN("a11050077")-1)</f>
        <v>11050077</v>
      </c>
      <c r="C188" s="48" t="s">
        <v>190</v>
      </c>
      <c r="D188" s="47" t="str">
        <f>RIGHT("a05/12/1993",LEN("a05/12/1993")-1)</f>
        <v>05/12/1993</v>
      </c>
      <c r="E188" s="49" t="s">
        <v>184</v>
      </c>
      <c r="F188" s="50">
        <v>3.65</v>
      </c>
      <c r="G188" s="50">
        <v>91</v>
      </c>
      <c r="H188" s="50" t="s">
        <v>12</v>
      </c>
      <c r="I188" s="51">
        <v>370000</v>
      </c>
      <c r="J188" s="52">
        <f t="shared" si="5"/>
        <v>1850000</v>
      </c>
      <c r="K188" s="12"/>
    </row>
    <row r="189" spans="1:11" s="8" customFormat="1" ht="18" customHeight="1">
      <c r="A189" s="13">
        <v>184</v>
      </c>
      <c r="B189" s="47" t="str">
        <f>RIGHT("a11050078",LEN("a11050078")-1)</f>
        <v>11050078</v>
      </c>
      <c r="C189" s="48" t="s">
        <v>191</v>
      </c>
      <c r="D189" s="47" t="str">
        <f>RIGHT("a15/06/1993",LEN("a15/06/1993")-1)</f>
        <v>15/06/1993</v>
      </c>
      <c r="E189" s="49" t="s">
        <v>184</v>
      </c>
      <c r="F189" s="50">
        <v>3.56</v>
      </c>
      <c r="G189" s="50">
        <v>79</v>
      </c>
      <c r="H189" s="50" t="s">
        <v>10</v>
      </c>
      <c r="I189" s="51">
        <v>290000</v>
      </c>
      <c r="J189" s="52">
        <f t="shared" si="5"/>
        <v>1450000</v>
      </c>
      <c r="K189" s="12"/>
    </row>
    <row r="190" spans="1:11" s="8" customFormat="1" ht="18" customHeight="1">
      <c r="A190" s="13">
        <v>185</v>
      </c>
      <c r="B190" s="47" t="str">
        <f>RIGHT("a11050358",LEN("a11050358")-1)</f>
        <v>11050358</v>
      </c>
      <c r="C190" s="48" t="s">
        <v>192</v>
      </c>
      <c r="D190" s="47" t="str">
        <f>RIGHT("a04/08/1993",LEN("a04/08/1993")-1)</f>
        <v>04/08/1993</v>
      </c>
      <c r="E190" s="49" t="s">
        <v>184</v>
      </c>
      <c r="F190" s="50">
        <v>3.54</v>
      </c>
      <c r="G190" s="50">
        <v>89</v>
      </c>
      <c r="H190" s="50" t="s">
        <v>11</v>
      </c>
      <c r="I190" s="51">
        <v>330000</v>
      </c>
      <c r="J190" s="52">
        <f t="shared" si="5"/>
        <v>1650000</v>
      </c>
      <c r="K190" s="12"/>
    </row>
    <row r="191" spans="1:11" s="8" customFormat="1" ht="18" customHeight="1">
      <c r="A191" s="13">
        <v>186</v>
      </c>
      <c r="B191" s="47" t="str">
        <f>RIGHT("a11050039",LEN("a11050039")-1)</f>
        <v>11050039</v>
      </c>
      <c r="C191" s="48" t="s">
        <v>193</v>
      </c>
      <c r="D191" s="47" t="str">
        <f>RIGHT("a17/09/1993",LEN("a17/09/1993")-1)</f>
        <v>17/09/1993</v>
      </c>
      <c r="E191" s="49" t="s">
        <v>184</v>
      </c>
      <c r="F191" s="50">
        <v>3.53</v>
      </c>
      <c r="G191" s="50">
        <v>81</v>
      </c>
      <c r="H191" s="50" t="s">
        <v>11</v>
      </c>
      <c r="I191" s="51">
        <v>330000</v>
      </c>
      <c r="J191" s="52">
        <f t="shared" si="5"/>
        <v>1650000</v>
      </c>
      <c r="K191" s="12"/>
    </row>
    <row r="192" spans="1:11" s="8" customFormat="1" ht="18" customHeight="1">
      <c r="A192" s="13">
        <v>187</v>
      </c>
      <c r="B192" s="47" t="str">
        <f>RIGHT("a11050115",LEN("a11050115")-1)</f>
        <v>11050115</v>
      </c>
      <c r="C192" s="48" t="s">
        <v>194</v>
      </c>
      <c r="D192" s="47" t="str">
        <f>RIGHT("a16/04/1993",LEN("a16/04/1993")-1)</f>
        <v>16/04/1993</v>
      </c>
      <c r="E192" s="49" t="s">
        <v>184</v>
      </c>
      <c r="F192" s="50">
        <v>3.53</v>
      </c>
      <c r="G192" s="50">
        <v>79</v>
      </c>
      <c r="H192" s="50" t="s">
        <v>10</v>
      </c>
      <c r="I192" s="51">
        <v>290000</v>
      </c>
      <c r="J192" s="52">
        <f t="shared" si="5"/>
        <v>1450000</v>
      </c>
      <c r="K192" s="12"/>
    </row>
    <row r="193" spans="1:11" s="8" customFormat="1" ht="18" customHeight="1">
      <c r="A193" s="13">
        <v>188</v>
      </c>
      <c r="B193" s="47">
        <v>11050130</v>
      </c>
      <c r="C193" s="48" t="s">
        <v>262</v>
      </c>
      <c r="D193" s="58">
        <v>34316</v>
      </c>
      <c r="E193" s="49" t="s">
        <v>184</v>
      </c>
      <c r="F193" s="50">
        <v>3.52</v>
      </c>
      <c r="G193" s="50">
        <v>79</v>
      </c>
      <c r="H193" s="50" t="s">
        <v>10</v>
      </c>
      <c r="I193" s="51">
        <v>290000</v>
      </c>
      <c r="J193" s="52">
        <f t="shared" si="5"/>
        <v>1450000</v>
      </c>
      <c r="K193" s="12"/>
    </row>
    <row r="194" spans="1:11" s="8" customFormat="1" ht="18" customHeight="1">
      <c r="A194" s="13"/>
      <c r="B194" s="47"/>
      <c r="C194" s="59" t="s">
        <v>7</v>
      </c>
      <c r="D194" s="47"/>
      <c r="E194" s="49"/>
      <c r="F194" s="50"/>
      <c r="G194" s="50"/>
      <c r="H194" s="50"/>
      <c r="I194" s="51"/>
      <c r="J194" s="60">
        <f>SUM(J6:J193)</f>
        <v>301400000</v>
      </c>
      <c r="K194" s="12"/>
    </row>
    <row r="195" s="1" customFormat="1" ht="19.5" customHeight="1">
      <c r="B195" s="11" t="s">
        <v>304</v>
      </c>
    </row>
  </sheetData>
  <autoFilter ref="A5:L195"/>
  <mergeCells count="11">
    <mergeCell ref="H4:H5"/>
    <mergeCell ref="I4:I5"/>
    <mergeCell ref="K4:K5"/>
    <mergeCell ref="J4:J5"/>
    <mergeCell ref="F4:F5"/>
    <mergeCell ref="C4:C5"/>
    <mergeCell ref="G4:G5"/>
    <mergeCell ref="A4:A5"/>
    <mergeCell ref="B4:B5"/>
    <mergeCell ref="E4:E5"/>
    <mergeCell ref="D4:D5"/>
  </mergeCells>
  <printOptions/>
  <pageMargins left="0.25" right="0.25" top="0" bottom="0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6">
      <selection activeCell="A3" sqref="A3:J3"/>
    </sheetView>
  </sheetViews>
  <sheetFormatPr defaultColWidth="9.140625" defaultRowHeight="12.75"/>
  <cols>
    <col min="1" max="1" width="5.421875" style="2" customWidth="1"/>
    <col min="2" max="2" width="10.140625" style="2" customWidth="1"/>
    <col min="3" max="3" width="24.00390625" style="2" customWidth="1"/>
    <col min="4" max="4" width="12.00390625" style="2" customWidth="1"/>
    <col min="5" max="5" width="24.28125" style="2" customWidth="1"/>
    <col min="6" max="6" width="14.140625" style="2" customWidth="1"/>
    <col min="7" max="7" width="12.28125" style="2" customWidth="1"/>
    <col min="8" max="8" width="8.8515625" style="2" customWidth="1"/>
    <col min="9" max="9" width="9.8515625" style="2" customWidth="1"/>
    <col min="10" max="10" width="12.8515625" style="2" customWidth="1"/>
    <col min="11" max="11" width="11.8515625" style="2" customWidth="1"/>
    <col min="12" max="16384" width="9.140625" style="2" customWidth="1"/>
  </cols>
  <sheetData>
    <row r="1" spans="1:10" ht="21.75" customHeight="1">
      <c r="A1" s="80" t="s">
        <v>308</v>
      </c>
      <c r="B1" s="80"/>
      <c r="C1" s="80"/>
      <c r="D1" s="80"/>
      <c r="E1" s="80"/>
      <c r="F1" s="80"/>
      <c r="G1" s="80"/>
      <c r="H1" s="80"/>
      <c r="I1" s="80"/>
      <c r="J1" s="80"/>
    </row>
    <row r="2" spans="1:9" ht="17.2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</row>
    <row r="3" spans="1:10" ht="19.5" customHeight="1">
      <c r="A3" s="81" t="s">
        <v>311</v>
      </c>
      <c r="B3" s="81"/>
      <c r="C3" s="81"/>
      <c r="D3" s="81"/>
      <c r="E3" s="81"/>
      <c r="F3" s="81"/>
      <c r="G3" s="81"/>
      <c r="H3" s="81"/>
      <c r="I3" s="81"/>
      <c r="J3" s="81"/>
    </row>
    <row r="4" ht="18.75" customHeight="1">
      <c r="A4" s="9"/>
    </row>
    <row r="5" spans="1:11" s="7" customFormat="1" ht="12.75" customHeight="1">
      <c r="A5" s="82" t="s">
        <v>0</v>
      </c>
      <c r="B5" s="75" t="s">
        <v>9</v>
      </c>
      <c r="C5" s="75" t="s">
        <v>1</v>
      </c>
      <c r="D5" s="75" t="s">
        <v>2</v>
      </c>
      <c r="E5" s="75" t="s">
        <v>5</v>
      </c>
      <c r="F5" s="75" t="s">
        <v>219</v>
      </c>
      <c r="G5" s="75" t="s">
        <v>255</v>
      </c>
      <c r="H5" s="75" t="s">
        <v>3</v>
      </c>
      <c r="I5" s="75" t="s">
        <v>6</v>
      </c>
      <c r="J5" s="78" t="s">
        <v>14</v>
      </c>
      <c r="K5" s="77" t="s">
        <v>8</v>
      </c>
    </row>
    <row r="6" spans="1:11" s="7" customFormat="1" ht="41.25" customHeight="1">
      <c r="A6" s="83"/>
      <c r="B6" s="76"/>
      <c r="C6" s="76"/>
      <c r="D6" s="76"/>
      <c r="E6" s="76"/>
      <c r="F6" s="76"/>
      <c r="G6" s="76"/>
      <c r="H6" s="76"/>
      <c r="I6" s="76"/>
      <c r="J6" s="79"/>
      <c r="K6" s="77"/>
    </row>
    <row r="7" spans="1:11" s="7" customFormat="1" ht="18" customHeight="1">
      <c r="A7" s="13">
        <v>1</v>
      </c>
      <c r="B7" s="25" t="str">
        <f>RIGHT("a08050010",LEN("a08050010")-1)</f>
        <v>08050010</v>
      </c>
      <c r="C7" s="26" t="s">
        <v>195</v>
      </c>
      <c r="D7" s="25" t="str">
        <f>RIGHT("a05/12/1990",LEN("a05/12/1990")-1)</f>
        <v>05/12/1990</v>
      </c>
      <c r="E7" s="27" t="s">
        <v>196</v>
      </c>
      <c r="F7" s="28">
        <v>3.73</v>
      </c>
      <c r="G7" s="28">
        <v>91</v>
      </c>
      <c r="H7" s="28" t="s">
        <v>12</v>
      </c>
      <c r="I7" s="21">
        <v>480000</v>
      </c>
      <c r="J7" s="19">
        <f>I7*5</f>
        <v>2400000</v>
      </c>
      <c r="K7" s="17"/>
    </row>
    <row r="8" spans="1:11" s="7" customFormat="1" ht="18" customHeight="1">
      <c r="A8" s="13">
        <v>2</v>
      </c>
      <c r="B8" s="37" t="s">
        <v>263</v>
      </c>
      <c r="C8" s="26" t="s">
        <v>264</v>
      </c>
      <c r="D8" s="38">
        <v>32985</v>
      </c>
      <c r="E8" s="27" t="s">
        <v>196</v>
      </c>
      <c r="F8" s="28">
        <v>3.63</v>
      </c>
      <c r="G8" s="28">
        <v>91</v>
      </c>
      <c r="H8" s="28" t="s">
        <v>12</v>
      </c>
      <c r="I8" s="21">
        <v>480000</v>
      </c>
      <c r="J8" s="19">
        <f>I8*5</f>
        <v>2400000</v>
      </c>
      <c r="K8" s="17"/>
    </row>
    <row r="9" spans="1:11" s="7" customFormat="1" ht="18" customHeight="1">
      <c r="A9" s="13">
        <v>3</v>
      </c>
      <c r="B9" s="25" t="str">
        <f>RIGHT("a09050053",LEN("a09050053")-1)</f>
        <v>09050053</v>
      </c>
      <c r="C9" s="26" t="s">
        <v>197</v>
      </c>
      <c r="D9" s="25" t="str">
        <f>RIGHT("a25/03/1991",LEN("a25/03/1991")-1)</f>
        <v>25/03/1991</v>
      </c>
      <c r="E9" s="27" t="s">
        <v>198</v>
      </c>
      <c r="F9" s="28">
        <v>3.87</v>
      </c>
      <c r="G9" s="28">
        <v>97</v>
      </c>
      <c r="H9" s="28" t="s">
        <v>12</v>
      </c>
      <c r="I9" s="21">
        <v>480000</v>
      </c>
      <c r="J9" s="19">
        <f aca="true" t="shared" si="0" ref="J9:J28">I9*5</f>
        <v>2400000</v>
      </c>
      <c r="K9" s="17"/>
    </row>
    <row r="10" spans="1:11" s="7" customFormat="1" ht="18" customHeight="1">
      <c r="A10" s="13">
        <v>4</v>
      </c>
      <c r="B10" s="25" t="str">
        <f>RIGHT("a09050102",LEN("a09050102")-1)</f>
        <v>09050102</v>
      </c>
      <c r="C10" s="26" t="s">
        <v>199</v>
      </c>
      <c r="D10" s="25" t="str">
        <f>RIGHT("a16/08/1991",LEN("a16/08/1991")-1)</f>
        <v>16/08/1991</v>
      </c>
      <c r="E10" s="27" t="s">
        <v>198</v>
      </c>
      <c r="F10" s="28">
        <v>3.76</v>
      </c>
      <c r="G10" s="28">
        <v>87</v>
      </c>
      <c r="H10" s="28" t="s">
        <v>11</v>
      </c>
      <c r="I10" s="21">
        <v>430000</v>
      </c>
      <c r="J10" s="19">
        <f t="shared" si="0"/>
        <v>2150000</v>
      </c>
      <c r="K10" s="17"/>
    </row>
    <row r="11" spans="1:11" s="7" customFormat="1" ht="18" customHeight="1">
      <c r="A11" s="13">
        <v>5</v>
      </c>
      <c r="B11" s="25" t="str">
        <f>RIGHT("a09050453",LEN("a09050453")-1)</f>
        <v>09050453</v>
      </c>
      <c r="C11" s="26" t="s">
        <v>200</v>
      </c>
      <c r="D11" s="25" t="str">
        <f>RIGHT("a11/07/1991",LEN("a11/07/1991")-1)</f>
        <v>11/07/1991</v>
      </c>
      <c r="E11" s="27" t="s">
        <v>198</v>
      </c>
      <c r="F11" s="28">
        <v>3.7</v>
      </c>
      <c r="G11" s="28">
        <v>90</v>
      </c>
      <c r="H11" s="28" t="s">
        <v>12</v>
      </c>
      <c r="I11" s="21">
        <v>480000</v>
      </c>
      <c r="J11" s="19">
        <f t="shared" si="0"/>
        <v>2400000</v>
      </c>
      <c r="K11" s="17"/>
    </row>
    <row r="12" spans="1:11" s="7" customFormat="1" ht="18" customHeight="1">
      <c r="A12" s="13">
        <v>6</v>
      </c>
      <c r="B12" s="37" t="s">
        <v>265</v>
      </c>
      <c r="C12" s="26" t="s">
        <v>266</v>
      </c>
      <c r="D12" s="38">
        <v>33408</v>
      </c>
      <c r="E12" s="27" t="s">
        <v>198</v>
      </c>
      <c r="F12" s="28">
        <v>3.49</v>
      </c>
      <c r="G12" s="28">
        <v>95</v>
      </c>
      <c r="H12" s="28" t="s">
        <v>11</v>
      </c>
      <c r="I12" s="21">
        <v>480000</v>
      </c>
      <c r="J12" s="19">
        <f t="shared" si="0"/>
        <v>2400000</v>
      </c>
      <c r="K12" s="17"/>
    </row>
    <row r="13" spans="1:11" s="22" customFormat="1" ht="18" customHeight="1">
      <c r="A13" s="13">
        <v>7</v>
      </c>
      <c r="B13" s="25" t="str">
        <f>RIGHT("a10050316",LEN("a10050316")-1)</f>
        <v>10050316</v>
      </c>
      <c r="C13" s="26" t="s">
        <v>201</v>
      </c>
      <c r="D13" s="25" t="str">
        <f>RIGHT("a22/12/1992",LEN("a22/12/1992")-1)</f>
        <v>22/12/1992</v>
      </c>
      <c r="E13" s="27" t="s">
        <v>202</v>
      </c>
      <c r="F13" s="28">
        <v>3.69</v>
      </c>
      <c r="G13" s="28">
        <v>92</v>
      </c>
      <c r="H13" s="28" t="s">
        <v>12</v>
      </c>
      <c r="I13" s="21">
        <v>480000</v>
      </c>
      <c r="J13" s="19">
        <f t="shared" si="0"/>
        <v>2400000</v>
      </c>
      <c r="K13" s="17"/>
    </row>
    <row r="14" spans="1:11" s="7" customFormat="1" ht="18" customHeight="1">
      <c r="A14" s="13">
        <v>8</v>
      </c>
      <c r="B14" s="25" t="str">
        <f>RIGHT("a10050256",LEN("a10050256")-1)</f>
        <v>10050256</v>
      </c>
      <c r="C14" s="26" t="s">
        <v>203</v>
      </c>
      <c r="D14" s="25" t="str">
        <f>RIGHT("a12/09/1993",LEN("a12/09/1993")-1)</f>
        <v>12/09/1993</v>
      </c>
      <c r="E14" s="27" t="s">
        <v>202</v>
      </c>
      <c r="F14" s="28">
        <v>3.68</v>
      </c>
      <c r="G14" s="28">
        <v>86</v>
      </c>
      <c r="H14" s="28" t="s">
        <v>11</v>
      </c>
      <c r="I14" s="21">
        <v>430000</v>
      </c>
      <c r="J14" s="19">
        <f t="shared" si="0"/>
        <v>2150000</v>
      </c>
      <c r="K14" s="17"/>
    </row>
    <row r="15" spans="1:11" s="7" customFormat="1" ht="18" customHeight="1">
      <c r="A15" s="13">
        <v>9</v>
      </c>
      <c r="B15" s="25" t="str">
        <f>RIGHT("a10050058",LEN("a10050058")-1)</f>
        <v>10050058</v>
      </c>
      <c r="C15" s="26" t="s">
        <v>204</v>
      </c>
      <c r="D15" s="25" t="str">
        <f>RIGHT("a26/04/1992",LEN("a26/04/1992")-1)</f>
        <v>26/04/1992</v>
      </c>
      <c r="E15" s="27" t="s">
        <v>202</v>
      </c>
      <c r="F15" s="28">
        <v>3.53</v>
      </c>
      <c r="G15" s="28">
        <v>78</v>
      </c>
      <c r="H15" s="28" t="s">
        <v>10</v>
      </c>
      <c r="I15" s="21">
        <v>370000</v>
      </c>
      <c r="J15" s="19">
        <f t="shared" si="0"/>
        <v>1850000</v>
      </c>
      <c r="K15" s="17"/>
    </row>
    <row r="16" spans="1:11" s="7" customFormat="1" ht="18" customHeight="1">
      <c r="A16" s="13">
        <v>10</v>
      </c>
      <c r="B16" s="25" t="str">
        <f>RIGHT("a10050082",LEN("a10050082")-1)</f>
        <v>10050082</v>
      </c>
      <c r="C16" s="26" t="s">
        <v>205</v>
      </c>
      <c r="D16" s="25" t="str">
        <f>RIGHT("a05/10/1992",LEN("a05/10/1992")-1)</f>
        <v>05/10/1992</v>
      </c>
      <c r="E16" s="27" t="s">
        <v>202</v>
      </c>
      <c r="F16" s="28">
        <v>3.48</v>
      </c>
      <c r="G16" s="28">
        <v>84</v>
      </c>
      <c r="H16" s="28" t="s">
        <v>11</v>
      </c>
      <c r="I16" s="21">
        <v>430000</v>
      </c>
      <c r="J16" s="19">
        <f t="shared" si="0"/>
        <v>2150000</v>
      </c>
      <c r="K16" s="17"/>
    </row>
    <row r="17" spans="1:11" s="7" customFormat="1" ht="18" customHeight="1">
      <c r="A17" s="13">
        <v>11</v>
      </c>
      <c r="B17" s="29" t="str">
        <f>RIGHT("a10050324",LEN("a10050324")-1)</f>
        <v>10050324</v>
      </c>
      <c r="C17" s="30" t="s">
        <v>206</v>
      </c>
      <c r="D17" s="29" t="str">
        <f>RIGHT("a26/05/1992",LEN("a26/05/1992")-1)</f>
        <v>26/05/1992</v>
      </c>
      <c r="E17" s="31" t="s">
        <v>202</v>
      </c>
      <c r="F17" s="32">
        <v>3.47</v>
      </c>
      <c r="G17" s="32">
        <v>95</v>
      </c>
      <c r="H17" s="32" t="s">
        <v>11</v>
      </c>
      <c r="I17" s="21">
        <v>430000</v>
      </c>
      <c r="J17" s="19">
        <f t="shared" si="0"/>
        <v>2150000</v>
      </c>
      <c r="K17" s="17"/>
    </row>
    <row r="18" spans="1:11" s="7" customFormat="1" ht="18" customHeight="1">
      <c r="A18" s="13">
        <v>12</v>
      </c>
      <c r="B18" s="25" t="str">
        <f>RIGHT("a11050344",LEN("a11050344")-1)</f>
        <v>11050344</v>
      </c>
      <c r="C18" s="26" t="s">
        <v>207</v>
      </c>
      <c r="D18" s="25" t="str">
        <f>RIGHT("a22/04/1993",LEN("a22/04/1993")-1)</f>
        <v>22/04/1993</v>
      </c>
      <c r="E18" s="27" t="s">
        <v>208</v>
      </c>
      <c r="F18" s="28">
        <v>3.89</v>
      </c>
      <c r="G18" s="28">
        <v>81</v>
      </c>
      <c r="H18" s="28" t="s">
        <v>11</v>
      </c>
      <c r="I18" s="21">
        <v>430000</v>
      </c>
      <c r="J18" s="19">
        <f t="shared" si="0"/>
        <v>2150000</v>
      </c>
      <c r="K18" s="17"/>
    </row>
    <row r="19" spans="1:11" s="7" customFormat="1" ht="18" customHeight="1">
      <c r="A19" s="13">
        <v>13</v>
      </c>
      <c r="B19" s="25" t="str">
        <f>RIGHT("a11050308",LEN("a11050308")-1)</f>
        <v>11050308</v>
      </c>
      <c r="C19" s="26" t="s">
        <v>209</v>
      </c>
      <c r="D19" s="25" t="str">
        <f>RIGHT("a27/06/1993",LEN("a27/06/1993")-1)</f>
        <v>27/06/1993</v>
      </c>
      <c r="E19" s="27" t="s">
        <v>208</v>
      </c>
      <c r="F19" s="28">
        <v>3.87</v>
      </c>
      <c r="G19" s="28">
        <v>81</v>
      </c>
      <c r="H19" s="28" t="s">
        <v>11</v>
      </c>
      <c r="I19" s="21">
        <v>430000</v>
      </c>
      <c r="J19" s="19">
        <f t="shared" si="0"/>
        <v>2150000</v>
      </c>
      <c r="K19" s="17"/>
    </row>
    <row r="20" spans="1:11" s="7" customFormat="1" ht="18" customHeight="1">
      <c r="A20" s="13">
        <v>14</v>
      </c>
      <c r="B20" s="25" t="str">
        <f>RIGHT("a11050296",LEN("a11050296")-1)</f>
        <v>11050296</v>
      </c>
      <c r="C20" s="26" t="s">
        <v>210</v>
      </c>
      <c r="D20" s="25" t="str">
        <f>RIGHT("a04/12/1993",LEN("a04/12/1993")-1)</f>
        <v>04/12/1993</v>
      </c>
      <c r="E20" s="27" t="s">
        <v>208</v>
      </c>
      <c r="F20" s="28">
        <v>3.84</v>
      </c>
      <c r="G20" s="28">
        <v>91</v>
      </c>
      <c r="H20" s="28" t="s">
        <v>12</v>
      </c>
      <c r="I20" s="21">
        <v>480000</v>
      </c>
      <c r="J20" s="19">
        <f t="shared" si="0"/>
        <v>2400000</v>
      </c>
      <c r="K20" s="17"/>
    </row>
    <row r="21" spans="1:11" s="7" customFormat="1" ht="18" customHeight="1">
      <c r="A21" s="13">
        <v>15</v>
      </c>
      <c r="B21" s="25" t="str">
        <f>RIGHT("a11050376",LEN("a11050376")-1)</f>
        <v>11050376</v>
      </c>
      <c r="C21" s="26" t="s">
        <v>211</v>
      </c>
      <c r="D21" s="25" t="str">
        <f>RIGHT("a21/08/1993",LEN("a21/08/1993")-1)</f>
        <v>21/08/1993</v>
      </c>
      <c r="E21" s="27" t="s">
        <v>208</v>
      </c>
      <c r="F21" s="28">
        <v>3.84</v>
      </c>
      <c r="G21" s="28">
        <v>81</v>
      </c>
      <c r="H21" s="28" t="s">
        <v>11</v>
      </c>
      <c r="I21" s="21">
        <v>430000</v>
      </c>
      <c r="J21" s="19">
        <f t="shared" si="0"/>
        <v>2150000</v>
      </c>
      <c r="K21" s="17"/>
    </row>
    <row r="22" spans="1:11" ht="18" customHeight="1">
      <c r="A22" s="13">
        <v>16</v>
      </c>
      <c r="B22" s="29" t="str">
        <f>RIGHT("a11050369",LEN("a11050369")-1)</f>
        <v>11050369</v>
      </c>
      <c r="C22" s="30" t="s">
        <v>212</v>
      </c>
      <c r="D22" s="29" t="str">
        <f>RIGHT("a07/03/1993",LEN("a07/03/1993")-1)</f>
        <v>07/03/1993</v>
      </c>
      <c r="E22" s="31" t="s">
        <v>208</v>
      </c>
      <c r="F22" s="32">
        <v>3.82</v>
      </c>
      <c r="G22" s="32">
        <v>76</v>
      </c>
      <c r="H22" s="32" t="s">
        <v>10</v>
      </c>
      <c r="I22" s="39">
        <v>370000</v>
      </c>
      <c r="J22" s="40">
        <f t="shared" si="0"/>
        <v>1850000</v>
      </c>
      <c r="K22" s="24"/>
    </row>
    <row r="23" spans="1:11" ht="18" customHeight="1">
      <c r="A23" s="13">
        <v>17</v>
      </c>
      <c r="B23" s="35" t="s">
        <v>267</v>
      </c>
      <c r="C23" s="14" t="s">
        <v>268</v>
      </c>
      <c r="D23" s="36">
        <v>34238</v>
      </c>
      <c r="E23" s="34" t="s">
        <v>208</v>
      </c>
      <c r="F23" s="13">
        <v>3.77</v>
      </c>
      <c r="G23" s="13">
        <v>91</v>
      </c>
      <c r="H23" s="13" t="s">
        <v>12</v>
      </c>
      <c r="I23" s="15">
        <v>480000</v>
      </c>
      <c r="J23" s="41">
        <f t="shared" si="0"/>
        <v>2400000</v>
      </c>
      <c r="K23" s="24"/>
    </row>
    <row r="24" spans="1:11" ht="18" customHeight="1">
      <c r="A24" s="13">
        <v>18</v>
      </c>
      <c r="B24" s="33" t="str">
        <f>RIGHT("a11050357",LEN("a11050357")-1)</f>
        <v>11050357</v>
      </c>
      <c r="C24" s="14" t="s">
        <v>213</v>
      </c>
      <c r="D24" s="33" t="str">
        <f>RIGHT("a11/06/1993",LEN("a11/06/1993")-1)</f>
        <v>11/06/1993</v>
      </c>
      <c r="E24" s="34" t="s">
        <v>214</v>
      </c>
      <c r="F24" s="13">
        <v>3.91</v>
      </c>
      <c r="G24" s="13">
        <v>86</v>
      </c>
      <c r="H24" s="13" t="s">
        <v>11</v>
      </c>
      <c r="I24" s="21">
        <v>430000</v>
      </c>
      <c r="J24" s="19">
        <f t="shared" si="0"/>
        <v>2150000</v>
      </c>
      <c r="K24" s="18"/>
    </row>
    <row r="25" spans="1:11" ht="18" customHeight="1">
      <c r="A25" s="13">
        <v>19</v>
      </c>
      <c r="B25" s="33" t="str">
        <f>RIGHT("a11050108",LEN("a11050108")-1)</f>
        <v>11050108</v>
      </c>
      <c r="C25" s="14" t="s">
        <v>215</v>
      </c>
      <c r="D25" s="33" t="str">
        <f>RIGHT("a30/08/1993",LEN("a30/08/1993")-1)</f>
        <v>30/08/1993</v>
      </c>
      <c r="E25" s="34" t="s">
        <v>214</v>
      </c>
      <c r="F25" s="13">
        <v>3.8</v>
      </c>
      <c r="G25" s="13">
        <v>74</v>
      </c>
      <c r="H25" s="13" t="s">
        <v>10</v>
      </c>
      <c r="I25" s="21">
        <v>370000</v>
      </c>
      <c r="J25" s="19">
        <f t="shared" si="0"/>
        <v>1850000</v>
      </c>
      <c r="K25" s="18"/>
    </row>
    <row r="26" spans="1:11" ht="18" customHeight="1">
      <c r="A26" s="13">
        <v>20</v>
      </c>
      <c r="B26" s="33" t="str">
        <f>RIGHT("a11050056",LEN("a11050056")-1)</f>
        <v>11050056</v>
      </c>
      <c r="C26" s="14" t="s">
        <v>216</v>
      </c>
      <c r="D26" s="33" t="str">
        <f>RIGHT("a24/10/1993",LEN("a24/10/1993")-1)</f>
        <v>24/10/1993</v>
      </c>
      <c r="E26" s="34" t="s">
        <v>214</v>
      </c>
      <c r="F26" s="13">
        <v>3.78</v>
      </c>
      <c r="G26" s="13">
        <v>89</v>
      </c>
      <c r="H26" s="13" t="s">
        <v>11</v>
      </c>
      <c r="I26" s="21">
        <v>430000</v>
      </c>
      <c r="J26" s="19">
        <f t="shared" si="0"/>
        <v>2150000</v>
      </c>
      <c r="K26" s="18"/>
    </row>
    <row r="27" spans="1:11" ht="18" customHeight="1">
      <c r="A27" s="13">
        <v>21</v>
      </c>
      <c r="B27" s="33" t="str">
        <f>RIGHT("a11050342",LEN("a11050342")-1)</f>
        <v>11050342</v>
      </c>
      <c r="C27" s="14" t="s">
        <v>217</v>
      </c>
      <c r="D27" s="33" t="str">
        <f>RIGHT("a15/09/1993",LEN("a15/09/1993")-1)</f>
        <v>15/09/1993</v>
      </c>
      <c r="E27" s="34" t="s">
        <v>214</v>
      </c>
      <c r="F27" s="13">
        <v>3.77</v>
      </c>
      <c r="G27" s="13">
        <v>77</v>
      </c>
      <c r="H27" s="13" t="s">
        <v>10</v>
      </c>
      <c r="I27" s="21">
        <v>370000</v>
      </c>
      <c r="J27" s="19">
        <f t="shared" si="0"/>
        <v>1850000</v>
      </c>
      <c r="K27" s="18"/>
    </row>
    <row r="28" spans="1:11" ht="18" customHeight="1">
      <c r="A28" s="13">
        <v>22</v>
      </c>
      <c r="B28" s="33" t="str">
        <f>RIGHT("a11050124",LEN("a11050124")-1)</f>
        <v>11050124</v>
      </c>
      <c r="C28" s="14" t="s">
        <v>218</v>
      </c>
      <c r="D28" s="33" t="str">
        <f>RIGHT("a04/08/1993",LEN("a04/08/1993")-1)</f>
        <v>04/08/1993</v>
      </c>
      <c r="E28" s="34" t="s">
        <v>214</v>
      </c>
      <c r="F28" s="13">
        <v>3.73</v>
      </c>
      <c r="G28" s="13">
        <v>86</v>
      </c>
      <c r="H28" s="13" t="s">
        <v>11</v>
      </c>
      <c r="I28" s="21">
        <v>430000</v>
      </c>
      <c r="J28" s="19">
        <f t="shared" si="0"/>
        <v>2150000</v>
      </c>
      <c r="K28" s="18"/>
    </row>
    <row r="29" spans="1:11" ht="18" customHeight="1">
      <c r="A29" s="13"/>
      <c r="B29" s="33"/>
      <c r="C29" s="46" t="s">
        <v>7</v>
      </c>
      <c r="D29" s="33"/>
      <c r="E29" s="34"/>
      <c r="F29" s="13"/>
      <c r="G29" s="13"/>
      <c r="H29" s="13"/>
      <c r="I29" s="15"/>
      <c r="J29" s="43">
        <f>SUM(J7:J28)</f>
        <v>48100000</v>
      </c>
      <c r="K29" s="18"/>
    </row>
    <row r="30" spans="2:4" ht="15.75">
      <c r="B30" s="10" t="s">
        <v>272</v>
      </c>
      <c r="C30" s="1"/>
      <c r="D30" s="1"/>
    </row>
    <row r="31" ht="15.75">
      <c r="B31" s="1"/>
    </row>
  </sheetData>
  <autoFilter ref="A6:J30"/>
  <mergeCells count="14">
    <mergeCell ref="K5:K6"/>
    <mergeCell ref="J5:J6"/>
    <mergeCell ref="A1:J1"/>
    <mergeCell ref="A2:I2"/>
    <mergeCell ref="A3:J3"/>
    <mergeCell ref="A5:A6"/>
    <mergeCell ref="B5:B6"/>
    <mergeCell ref="C5:C6"/>
    <mergeCell ref="D5:D6"/>
    <mergeCell ref="I5:I6"/>
    <mergeCell ref="E5:E6"/>
    <mergeCell ref="F5:F6"/>
    <mergeCell ref="G5:G6"/>
    <mergeCell ref="H5:H6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56"/>
  <sheetViews>
    <sheetView tabSelected="1" workbookViewId="0" topLeftCell="A16">
      <selection activeCell="A3" sqref="A3:K3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23.140625" style="0" customWidth="1"/>
    <col min="4" max="4" width="12.7109375" style="0" customWidth="1"/>
    <col min="5" max="5" width="20.28125" style="0" customWidth="1"/>
    <col min="6" max="6" width="14.00390625" style="0" customWidth="1"/>
    <col min="7" max="7" width="13.00390625" style="0" customWidth="1"/>
    <col min="8" max="8" width="7.57421875" style="0" customWidth="1"/>
    <col min="9" max="9" width="11.28125" style="0" customWidth="1"/>
    <col min="10" max="10" width="14.00390625" style="0" customWidth="1"/>
    <col min="11" max="11" width="12.57421875" style="0" customWidth="1"/>
  </cols>
  <sheetData>
    <row r="1" spans="1:11" s="2" customFormat="1" ht="17.25" customHeight="1">
      <c r="A1" s="80" t="s">
        <v>307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" customFormat="1" ht="11.25" customHeight="1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2" customFormat="1" ht="14.25" customHeight="1">
      <c r="A3" s="81" t="s">
        <v>312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7" customFormat="1" ht="12.75" customHeight="1">
      <c r="A4" s="82" t="s">
        <v>0</v>
      </c>
      <c r="B4" s="75" t="s">
        <v>9</v>
      </c>
      <c r="C4" s="75" t="s">
        <v>1</v>
      </c>
      <c r="D4" s="75" t="s">
        <v>2</v>
      </c>
      <c r="E4" s="75" t="s">
        <v>5</v>
      </c>
      <c r="F4" s="75" t="s">
        <v>219</v>
      </c>
      <c r="G4" s="75" t="s">
        <v>220</v>
      </c>
      <c r="H4" s="75" t="s">
        <v>3</v>
      </c>
      <c r="I4" s="75" t="s">
        <v>6</v>
      </c>
      <c r="J4" s="78" t="s">
        <v>4</v>
      </c>
      <c r="K4" s="77" t="s">
        <v>8</v>
      </c>
    </row>
    <row r="5" spans="1:11" s="7" customFormat="1" ht="28.5" customHeight="1">
      <c r="A5" s="83"/>
      <c r="B5" s="76"/>
      <c r="C5" s="76"/>
      <c r="D5" s="76"/>
      <c r="E5" s="76"/>
      <c r="F5" s="76"/>
      <c r="G5" s="76"/>
      <c r="H5" s="76"/>
      <c r="I5" s="76"/>
      <c r="J5" s="79"/>
      <c r="K5" s="77"/>
    </row>
    <row r="6" spans="1:11" s="22" customFormat="1" ht="18" customHeight="1">
      <c r="A6" s="13">
        <v>1</v>
      </c>
      <c r="B6" s="25" t="str">
        <f>RIGHT("a08050131",LEN("a08050131")-1)</f>
        <v>08050131</v>
      </c>
      <c r="C6" s="26" t="s">
        <v>221</v>
      </c>
      <c r="D6" s="25" t="str">
        <f>RIGHT("a14/06/1990",LEN("a14/06/1990")-1)</f>
        <v>14/06/1990</v>
      </c>
      <c r="E6" s="27" t="s">
        <v>222</v>
      </c>
      <c r="F6" s="28">
        <v>4</v>
      </c>
      <c r="G6" s="28">
        <v>94</v>
      </c>
      <c r="H6" s="28" t="s">
        <v>12</v>
      </c>
      <c r="I6" s="21">
        <v>825000</v>
      </c>
      <c r="J6" s="20">
        <f>I6*5</f>
        <v>4125000</v>
      </c>
      <c r="K6" s="17"/>
    </row>
    <row r="7" spans="1:11" s="22" customFormat="1" ht="18" customHeight="1">
      <c r="A7" s="13">
        <v>2</v>
      </c>
      <c r="B7" s="25" t="str">
        <f>RIGHT("a08050110",LEN("a08050110")-1)</f>
        <v>08050110</v>
      </c>
      <c r="C7" s="26" t="s">
        <v>223</v>
      </c>
      <c r="D7" s="25" t="str">
        <f>RIGHT("a25/12/1989",LEN("a25/12/1989")-1)</f>
        <v>25/12/1989</v>
      </c>
      <c r="E7" s="27" t="s">
        <v>222</v>
      </c>
      <c r="F7" s="28">
        <v>3.97</v>
      </c>
      <c r="G7" s="28">
        <v>81</v>
      </c>
      <c r="H7" s="28" t="s">
        <v>11</v>
      </c>
      <c r="I7" s="21">
        <v>620000</v>
      </c>
      <c r="J7" s="20">
        <f aca="true" t="shared" si="0" ref="J7:J38">I7*5</f>
        <v>3100000</v>
      </c>
      <c r="K7" s="17"/>
    </row>
    <row r="8" spans="1:11" s="22" customFormat="1" ht="18" customHeight="1">
      <c r="A8" s="13">
        <v>3</v>
      </c>
      <c r="B8" s="25" t="str">
        <f>RIGHT("a08050139",LEN("a08050139")-1)</f>
        <v>08050139</v>
      </c>
      <c r="C8" s="26" t="s">
        <v>224</v>
      </c>
      <c r="D8" s="25" t="str">
        <f>RIGHT("a07/12/1990",LEN("a07/12/1990")-1)</f>
        <v>07/12/1990</v>
      </c>
      <c r="E8" s="27" t="s">
        <v>222</v>
      </c>
      <c r="F8" s="28">
        <v>3.92</v>
      </c>
      <c r="G8" s="28">
        <v>91</v>
      </c>
      <c r="H8" s="28" t="s">
        <v>12</v>
      </c>
      <c r="I8" s="21">
        <v>825000</v>
      </c>
      <c r="J8" s="20">
        <f t="shared" si="0"/>
        <v>4125000</v>
      </c>
      <c r="K8" s="17"/>
    </row>
    <row r="9" spans="1:11" s="22" customFormat="1" ht="18" customHeight="1">
      <c r="A9" s="13">
        <v>4</v>
      </c>
      <c r="B9" s="25" t="str">
        <f>RIGHT("a08050148",LEN("a08050148")-1)</f>
        <v>08050148</v>
      </c>
      <c r="C9" s="26" t="s">
        <v>225</v>
      </c>
      <c r="D9" s="25" t="str">
        <f>RIGHT("a16/06/1990",LEN("a16/06/1990")-1)</f>
        <v>16/06/1990</v>
      </c>
      <c r="E9" s="27" t="s">
        <v>222</v>
      </c>
      <c r="F9" s="28">
        <v>3.92</v>
      </c>
      <c r="G9" s="28">
        <v>91</v>
      </c>
      <c r="H9" s="28" t="s">
        <v>12</v>
      </c>
      <c r="I9" s="21">
        <v>825000</v>
      </c>
      <c r="J9" s="20">
        <f t="shared" si="0"/>
        <v>4125000</v>
      </c>
      <c r="K9" s="17"/>
    </row>
    <row r="10" spans="1:11" s="22" customFormat="1" ht="18" customHeight="1">
      <c r="A10" s="13">
        <v>5</v>
      </c>
      <c r="B10" s="25" t="str">
        <f>RIGHT("a08050137",LEN("a08050137")-1)</f>
        <v>08050137</v>
      </c>
      <c r="C10" s="26" t="s">
        <v>226</v>
      </c>
      <c r="D10" s="25" t="str">
        <f>RIGHT("a27/10/1989",LEN("a27/10/1989")-1)</f>
        <v>27/10/1989</v>
      </c>
      <c r="E10" s="27" t="s">
        <v>222</v>
      </c>
      <c r="F10" s="28">
        <v>3.92</v>
      </c>
      <c r="G10" s="28">
        <v>87</v>
      </c>
      <c r="H10" s="28" t="s">
        <v>11</v>
      </c>
      <c r="I10" s="21">
        <v>620000</v>
      </c>
      <c r="J10" s="20">
        <f t="shared" si="0"/>
        <v>3100000</v>
      </c>
      <c r="K10" s="17"/>
    </row>
    <row r="11" spans="1:11" s="22" customFormat="1" ht="18" customHeight="1">
      <c r="A11" s="13">
        <v>6</v>
      </c>
      <c r="B11" s="37" t="s">
        <v>269</v>
      </c>
      <c r="C11" s="26" t="s">
        <v>270</v>
      </c>
      <c r="D11" s="38">
        <v>32953</v>
      </c>
      <c r="E11" s="27" t="s">
        <v>222</v>
      </c>
      <c r="F11" s="28">
        <v>3.78</v>
      </c>
      <c r="G11" s="28">
        <v>94</v>
      </c>
      <c r="H11" s="28" t="s">
        <v>12</v>
      </c>
      <c r="I11" s="21">
        <v>825000</v>
      </c>
      <c r="J11" s="20">
        <f t="shared" si="0"/>
        <v>4125000</v>
      </c>
      <c r="K11" s="17"/>
    </row>
    <row r="12" spans="1:11" s="22" customFormat="1" ht="18" customHeight="1">
      <c r="A12" s="13">
        <v>7</v>
      </c>
      <c r="B12" s="25" t="str">
        <f>RIGHT("a09050287",LEN("a09050287")-1)</f>
        <v>09050287</v>
      </c>
      <c r="C12" s="26" t="s">
        <v>227</v>
      </c>
      <c r="D12" s="25" t="str">
        <f>RIGHT("a01/04/1991",LEN("a01/04/1991")-1)</f>
        <v>01/04/1991</v>
      </c>
      <c r="E12" s="27" t="s">
        <v>228</v>
      </c>
      <c r="F12" s="28">
        <v>3.63</v>
      </c>
      <c r="G12" s="28">
        <v>95</v>
      </c>
      <c r="H12" s="28" t="s">
        <v>12</v>
      </c>
      <c r="I12" s="21">
        <v>825000</v>
      </c>
      <c r="J12" s="20">
        <f t="shared" si="0"/>
        <v>4125000</v>
      </c>
      <c r="K12" s="17"/>
    </row>
    <row r="13" spans="1:11" s="22" customFormat="1" ht="18" customHeight="1">
      <c r="A13" s="13">
        <v>8</v>
      </c>
      <c r="B13" s="25" t="str">
        <f>RIGHT("a09050288",LEN("a09050288")-1)</f>
        <v>09050288</v>
      </c>
      <c r="C13" s="26" t="s">
        <v>229</v>
      </c>
      <c r="D13" s="25" t="str">
        <f>RIGHT("a12/12/1991",LEN("a12/12/1991")-1)</f>
        <v>12/12/1991</v>
      </c>
      <c r="E13" s="27" t="s">
        <v>228</v>
      </c>
      <c r="F13" s="28">
        <v>3.63</v>
      </c>
      <c r="G13" s="28">
        <v>83</v>
      </c>
      <c r="H13" s="28" t="s">
        <v>11</v>
      </c>
      <c r="I13" s="21">
        <v>620000</v>
      </c>
      <c r="J13" s="20">
        <f t="shared" si="0"/>
        <v>3100000</v>
      </c>
      <c r="K13" s="17"/>
    </row>
    <row r="14" spans="1:11" s="22" customFormat="1" ht="18" customHeight="1">
      <c r="A14" s="13">
        <v>9</v>
      </c>
      <c r="B14" s="25" t="str">
        <f>RIGHT("a09050303",LEN("a09050303")-1)</f>
        <v>09050303</v>
      </c>
      <c r="C14" s="26" t="s">
        <v>230</v>
      </c>
      <c r="D14" s="25" t="str">
        <f>RIGHT("a19/07/1991",LEN("a19/07/1991")-1)</f>
        <v>19/07/1991</v>
      </c>
      <c r="E14" s="27" t="s">
        <v>228</v>
      </c>
      <c r="F14" s="28">
        <v>3.6</v>
      </c>
      <c r="G14" s="28">
        <v>95</v>
      </c>
      <c r="H14" s="28" t="s">
        <v>12</v>
      </c>
      <c r="I14" s="21">
        <v>825000</v>
      </c>
      <c r="J14" s="20">
        <f t="shared" si="0"/>
        <v>4125000</v>
      </c>
      <c r="K14" s="17"/>
    </row>
    <row r="15" spans="1:11" s="22" customFormat="1" ht="18" customHeight="1">
      <c r="A15" s="13">
        <v>10</v>
      </c>
      <c r="B15" s="25" t="str">
        <f>RIGHT("a09050313",LEN("a09050313")-1)</f>
        <v>09050313</v>
      </c>
      <c r="C15" s="26" t="s">
        <v>231</v>
      </c>
      <c r="D15" s="25" t="str">
        <f>RIGHT("a30/12/1991",LEN("a30/12/1991")-1)</f>
        <v>30/12/1991</v>
      </c>
      <c r="E15" s="27" t="s">
        <v>228</v>
      </c>
      <c r="F15" s="28">
        <v>3.53</v>
      </c>
      <c r="G15" s="28">
        <v>83</v>
      </c>
      <c r="H15" s="28" t="s">
        <v>11</v>
      </c>
      <c r="I15" s="21">
        <v>620000</v>
      </c>
      <c r="J15" s="20">
        <f t="shared" si="0"/>
        <v>3100000</v>
      </c>
      <c r="K15" s="17"/>
    </row>
    <row r="16" spans="1:11" s="22" customFormat="1" ht="18" customHeight="1">
      <c r="A16" s="13">
        <v>11</v>
      </c>
      <c r="B16" s="25" t="str">
        <f>RIGHT("a09050265",LEN("a09050265")-1)</f>
        <v>09050265</v>
      </c>
      <c r="C16" s="26" t="s">
        <v>232</v>
      </c>
      <c r="D16" s="25" t="str">
        <f>RIGHT("a11/01/1991",LEN("a11/01/1991")-1)</f>
        <v>11/01/1991</v>
      </c>
      <c r="E16" s="27" t="s">
        <v>228</v>
      </c>
      <c r="F16" s="28">
        <v>3.51</v>
      </c>
      <c r="G16" s="28">
        <v>83</v>
      </c>
      <c r="H16" s="28" t="s">
        <v>11</v>
      </c>
      <c r="I16" s="21">
        <v>620000</v>
      </c>
      <c r="J16" s="20">
        <f t="shared" si="0"/>
        <v>3100000</v>
      </c>
      <c r="K16" s="17"/>
    </row>
    <row r="17" spans="1:11" s="22" customFormat="1" ht="18" customHeight="1">
      <c r="A17" s="13">
        <v>12</v>
      </c>
      <c r="B17" s="25" t="str">
        <f>RIGHT("a09050285",LEN("a09050285")-1)</f>
        <v>09050285</v>
      </c>
      <c r="C17" s="26" t="s">
        <v>305</v>
      </c>
      <c r="D17" s="25" t="str">
        <f>RIGHT("a22/06/1991",LEN("a22/06/1991")-1)</f>
        <v>22/06/1991</v>
      </c>
      <c r="E17" s="27" t="s">
        <v>228</v>
      </c>
      <c r="F17" s="28">
        <v>3.51</v>
      </c>
      <c r="G17" s="28">
        <v>83</v>
      </c>
      <c r="H17" s="28" t="s">
        <v>11</v>
      </c>
      <c r="I17" s="21">
        <v>620000</v>
      </c>
      <c r="J17" s="20">
        <f t="shared" si="0"/>
        <v>3100000</v>
      </c>
      <c r="K17" s="17"/>
    </row>
    <row r="18" spans="1:11" s="22" customFormat="1" ht="18" customHeight="1">
      <c r="A18" s="13">
        <v>13</v>
      </c>
      <c r="B18" s="25" t="str">
        <f>RIGHT("a09050271",LEN("a09050271")-1)</f>
        <v>09050271</v>
      </c>
      <c r="C18" s="26" t="s">
        <v>233</v>
      </c>
      <c r="D18" s="25" t="str">
        <f>RIGHT("a29/05/1991",LEN("a29/05/1991")-1)</f>
        <v>29/05/1991</v>
      </c>
      <c r="E18" s="27" t="s">
        <v>228</v>
      </c>
      <c r="F18" s="28">
        <v>3.49</v>
      </c>
      <c r="G18" s="28">
        <v>83</v>
      </c>
      <c r="H18" s="28" t="s">
        <v>11</v>
      </c>
      <c r="I18" s="21">
        <v>620000</v>
      </c>
      <c r="J18" s="20">
        <f t="shared" si="0"/>
        <v>3100000</v>
      </c>
      <c r="K18" s="17"/>
    </row>
    <row r="19" spans="1:11" s="22" customFormat="1" ht="18" customHeight="1">
      <c r="A19" s="13">
        <v>14</v>
      </c>
      <c r="B19" s="25" t="str">
        <f>RIGHT("a09050297",LEN("a09050297")-1)</f>
        <v>09050297</v>
      </c>
      <c r="C19" s="26" t="s">
        <v>234</v>
      </c>
      <c r="D19" s="25" t="str">
        <f>RIGHT("a22/03/1991",LEN("a22/03/1991")-1)</f>
        <v>22/03/1991</v>
      </c>
      <c r="E19" s="27" t="s">
        <v>228</v>
      </c>
      <c r="F19" s="28">
        <v>3.44</v>
      </c>
      <c r="G19" s="28">
        <v>85</v>
      </c>
      <c r="H19" s="28" t="s">
        <v>11</v>
      </c>
      <c r="I19" s="21">
        <v>620000</v>
      </c>
      <c r="J19" s="20">
        <f t="shared" si="0"/>
        <v>3100000</v>
      </c>
      <c r="K19" s="17"/>
    </row>
    <row r="20" spans="1:11" s="22" customFormat="1" ht="18" customHeight="1">
      <c r="A20" s="13">
        <v>15</v>
      </c>
      <c r="B20" s="25" t="str">
        <f>RIGHT("a10050329",LEN("a10050329")-1)</f>
        <v>10050329</v>
      </c>
      <c r="C20" s="26" t="s">
        <v>235</v>
      </c>
      <c r="D20" s="25" t="str">
        <f>RIGHT("a22/10/1992",LEN("a22/10/1992")-1)</f>
        <v>22/10/1992</v>
      </c>
      <c r="E20" s="27" t="s">
        <v>236</v>
      </c>
      <c r="F20" s="28">
        <v>3.97</v>
      </c>
      <c r="G20" s="28">
        <v>91</v>
      </c>
      <c r="H20" s="28" t="s">
        <v>12</v>
      </c>
      <c r="I20" s="21">
        <v>825000</v>
      </c>
      <c r="J20" s="20">
        <f t="shared" si="0"/>
        <v>4125000</v>
      </c>
      <c r="K20" s="17"/>
    </row>
    <row r="21" spans="1:11" s="22" customFormat="1" ht="18" customHeight="1">
      <c r="A21" s="13">
        <v>16</v>
      </c>
      <c r="B21" s="25" t="str">
        <f>RIGHT("a10050140",LEN("a10050140")-1)</f>
        <v>10050140</v>
      </c>
      <c r="C21" s="26" t="s">
        <v>237</v>
      </c>
      <c r="D21" s="25" t="str">
        <f>RIGHT("a24/12/1991",LEN("a24/12/1991")-1)</f>
        <v>24/12/1991</v>
      </c>
      <c r="E21" s="27" t="s">
        <v>236</v>
      </c>
      <c r="F21" s="28">
        <v>3.9</v>
      </c>
      <c r="G21" s="28">
        <v>81</v>
      </c>
      <c r="H21" s="28" t="s">
        <v>11</v>
      </c>
      <c r="I21" s="21">
        <v>620000</v>
      </c>
      <c r="J21" s="20">
        <f t="shared" si="0"/>
        <v>3100000</v>
      </c>
      <c r="K21" s="17"/>
    </row>
    <row r="22" spans="1:11" s="22" customFormat="1" ht="18" customHeight="1">
      <c r="A22" s="13">
        <v>17</v>
      </c>
      <c r="B22" s="25" t="str">
        <f>RIGHT("a10050263",LEN("a10050263")-1)</f>
        <v>10050263</v>
      </c>
      <c r="C22" s="26" t="s">
        <v>238</v>
      </c>
      <c r="D22" s="25" t="str">
        <f>RIGHT("a24/10/1992",LEN("a24/10/1992")-1)</f>
        <v>24/10/1992</v>
      </c>
      <c r="E22" s="27" t="s">
        <v>236</v>
      </c>
      <c r="F22" s="28">
        <v>3.87</v>
      </c>
      <c r="G22" s="28">
        <v>91</v>
      </c>
      <c r="H22" s="28" t="s">
        <v>12</v>
      </c>
      <c r="I22" s="21">
        <v>825000</v>
      </c>
      <c r="J22" s="20">
        <f t="shared" si="0"/>
        <v>4125000</v>
      </c>
      <c r="K22" s="17"/>
    </row>
    <row r="23" spans="1:11" s="22" customFormat="1" ht="18" customHeight="1">
      <c r="A23" s="13">
        <v>18</v>
      </c>
      <c r="B23" s="25" t="str">
        <f>RIGHT("a10050261",LEN("a10050261")-1)</f>
        <v>10050261</v>
      </c>
      <c r="C23" s="26" t="s">
        <v>239</v>
      </c>
      <c r="D23" s="25" t="str">
        <f>RIGHT("a20/04/1992",LEN("a20/04/1992")-1)</f>
        <v>20/04/1992</v>
      </c>
      <c r="E23" s="27" t="s">
        <v>236</v>
      </c>
      <c r="F23" s="28">
        <v>3.83</v>
      </c>
      <c r="G23" s="28">
        <v>81</v>
      </c>
      <c r="H23" s="28" t="s">
        <v>11</v>
      </c>
      <c r="I23" s="21">
        <v>620000</v>
      </c>
      <c r="J23" s="20">
        <f t="shared" si="0"/>
        <v>3100000</v>
      </c>
      <c r="K23" s="17"/>
    </row>
    <row r="24" spans="1:11" s="22" customFormat="1" ht="18" customHeight="1">
      <c r="A24" s="13">
        <v>19</v>
      </c>
      <c r="B24" s="25" t="str">
        <f>RIGHT("a10050047",LEN("a10050047")-1)</f>
        <v>10050047</v>
      </c>
      <c r="C24" s="26" t="s">
        <v>240</v>
      </c>
      <c r="D24" s="25" t="str">
        <f>RIGHT("a27/12/1992",LEN("a27/12/1992")-1)</f>
        <v>27/12/1992</v>
      </c>
      <c r="E24" s="27" t="s">
        <v>236</v>
      </c>
      <c r="F24" s="28">
        <v>3.74</v>
      </c>
      <c r="G24" s="28">
        <v>81</v>
      </c>
      <c r="H24" s="28" t="s">
        <v>11</v>
      </c>
      <c r="I24" s="21">
        <v>620000</v>
      </c>
      <c r="J24" s="20">
        <f t="shared" si="0"/>
        <v>3100000</v>
      </c>
      <c r="K24" s="17"/>
    </row>
    <row r="25" spans="1:11" s="22" customFormat="1" ht="18" customHeight="1">
      <c r="A25" s="13">
        <v>20</v>
      </c>
      <c r="B25" s="25" t="str">
        <f>RIGHT("a10050320",LEN("a10050320")-1)</f>
        <v>10050320</v>
      </c>
      <c r="C25" s="26" t="s">
        <v>241</v>
      </c>
      <c r="D25" s="25" t="str">
        <f>RIGHT("a05/05/1992",LEN("a05/05/1992")-1)</f>
        <v>05/05/1992</v>
      </c>
      <c r="E25" s="27" t="s">
        <v>236</v>
      </c>
      <c r="F25" s="28">
        <v>3.68</v>
      </c>
      <c r="G25" s="28">
        <v>81</v>
      </c>
      <c r="H25" s="28" t="s">
        <v>11</v>
      </c>
      <c r="I25" s="21">
        <v>620000</v>
      </c>
      <c r="J25" s="20">
        <f t="shared" si="0"/>
        <v>3100000</v>
      </c>
      <c r="K25" s="17"/>
    </row>
    <row r="26" spans="1:11" s="22" customFormat="1" ht="18" customHeight="1">
      <c r="A26" s="13">
        <v>21</v>
      </c>
      <c r="B26" s="25" t="str">
        <f>RIGHT("a10050255",LEN("a10050255")-1)</f>
        <v>10050255</v>
      </c>
      <c r="C26" s="26" t="s">
        <v>242</v>
      </c>
      <c r="D26" s="25" t="str">
        <f>RIGHT("a15/07/1992",LEN("a15/07/1992")-1)</f>
        <v>15/07/1992</v>
      </c>
      <c r="E26" s="27" t="s">
        <v>236</v>
      </c>
      <c r="F26" s="28">
        <v>3.67</v>
      </c>
      <c r="G26" s="28">
        <v>91</v>
      </c>
      <c r="H26" s="28" t="s">
        <v>12</v>
      </c>
      <c r="I26" s="21">
        <v>825000</v>
      </c>
      <c r="J26" s="20">
        <f t="shared" si="0"/>
        <v>4125000</v>
      </c>
      <c r="K26" s="17"/>
    </row>
    <row r="27" spans="1:11" s="22" customFormat="1" ht="18" customHeight="1">
      <c r="A27" s="13">
        <v>22</v>
      </c>
      <c r="B27" s="25" t="str">
        <f>RIGHT("a11050304",LEN("a11050304")-1)</f>
        <v>11050304</v>
      </c>
      <c r="C27" s="26" t="s">
        <v>243</v>
      </c>
      <c r="D27" s="25" t="str">
        <f>RIGHT("a06/03/1993",LEN("a06/03/1993")-1)</f>
        <v>06/03/1993</v>
      </c>
      <c r="E27" s="27" t="s">
        <v>244</v>
      </c>
      <c r="F27" s="28">
        <v>3.65</v>
      </c>
      <c r="G27" s="28">
        <v>84</v>
      </c>
      <c r="H27" s="28" t="s">
        <v>11</v>
      </c>
      <c r="I27" s="21">
        <v>620000</v>
      </c>
      <c r="J27" s="20">
        <f t="shared" si="0"/>
        <v>3100000</v>
      </c>
      <c r="K27" s="17"/>
    </row>
    <row r="28" spans="1:11" s="22" customFormat="1" ht="18" customHeight="1">
      <c r="A28" s="13">
        <v>23</v>
      </c>
      <c r="B28" s="25" t="str">
        <f>RIGHT("a11050018",LEN("a11050018")-1)</f>
        <v>11050018</v>
      </c>
      <c r="C28" s="26" t="s">
        <v>245</v>
      </c>
      <c r="D28" s="25" t="str">
        <f>RIGHT("a10/11/1993",LEN("a10/11/1993")-1)</f>
        <v>10/11/1993</v>
      </c>
      <c r="E28" s="27" t="s">
        <v>244</v>
      </c>
      <c r="F28" s="28">
        <v>3.62</v>
      </c>
      <c r="G28" s="28">
        <v>80</v>
      </c>
      <c r="H28" s="28" t="s">
        <v>11</v>
      </c>
      <c r="I28" s="21">
        <v>620000</v>
      </c>
      <c r="J28" s="20">
        <f t="shared" si="0"/>
        <v>3100000</v>
      </c>
      <c r="K28" s="17"/>
    </row>
    <row r="29" spans="1:11" s="22" customFormat="1" ht="18" customHeight="1">
      <c r="A29" s="13">
        <v>24</v>
      </c>
      <c r="B29" s="25" t="str">
        <f>RIGHT("a11050061",LEN("a11050061")-1)</f>
        <v>11050061</v>
      </c>
      <c r="C29" s="26" t="s">
        <v>246</v>
      </c>
      <c r="D29" s="25" t="str">
        <f>RIGHT("a27/10/1993",LEN("a27/10/1993")-1)</f>
        <v>27/10/1993</v>
      </c>
      <c r="E29" s="27" t="s">
        <v>244</v>
      </c>
      <c r="F29" s="28">
        <v>3.53</v>
      </c>
      <c r="G29" s="28">
        <v>98</v>
      </c>
      <c r="H29" s="28" t="s">
        <v>11</v>
      </c>
      <c r="I29" s="21">
        <v>620000</v>
      </c>
      <c r="J29" s="20">
        <f t="shared" si="0"/>
        <v>3100000</v>
      </c>
      <c r="K29" s="17"/>
    </row>
    <row r="30" spans="1:11" s="22" customFormat="1" ht="18" customHeight="1">
      <c r="A30" s="13">
        <v>25</v>
      </c>
      <c r="B30" s="25" t="str">
        <f>RIGHT("a11050098",LEN("a11050098")-1)</f>
        <v>11050098</v>
      </c>
      <c r="C30" s="26" t="s">
        <v>247</v>
      </c>
      <c r="D30" s="25" t="str">
        <f>RIGHT("a17/11/1993",LEN("a17/11/1993")-1)</f>
        <v>17/11/1993</v>
      </c>
      <c r="E30" s="27" t="s">
        <v>244</v>
      </c>
      <c r="F30" s="28">
        <v>3.51</v>
      </c>
      <c r="G30" s="28">
        <v>100</v>
      </c>
      <c r="H30" s="28" t="s">
        <v>11</v>
      </c>
      <c r="I30" s="21">
        <v>620000</v>
      </c>
      <c r="J30" s="20">
        <f t="shared" si="0"/>
        <v>3100000</v>
      </c>
      <c r="K30" s="17"/>
    </row>
    <row r="31" spans="1:11" s="22" customFormat="1" ht="18" customHeight="1">
      <c r="A31" s="13">
        <v>26</v>
      </c>
      <c r="B31" s="25" t="str">
        <f>RIGHT("a11050085",LEN("a11050085")-1)</f>
        <v>11050085</v>
      </c>
      <c r="C31" s="26" t="s">
        <v>248</v>
      </c>
      <c r="D31" s="25" t="str">
        <f>RIGHT("a19/01/1993",LEN("a19/01/1993")-1)</f>
        <v>19/01/1993</v>
      </c>
      <c r="E31" s="27" t="s">
        <v>244</v>
      </c>
      <c r="F31" s="28">
        <v>3.4</v>
      </c>
      <c r="G31" s="28">
        <v>95</v>
      </c>
      <c r="H31" s="28" t="s">
        <v>11</v>
      </c>
      <c r="I31" s="21">
        <v>620000</v>
      </c>
      <c r="J31" s="20">
        <f t="shared" si="0"/>
        <v>3100000</v>
      </c>
      <c r="K31" s="17"/>
    </row>
    <row r="32" spans="1:11" s="22" customFormat="1" ht="18" customHeight="1">
      <c r="A32" s="13">
        <v>27</v>
      </c>
      <c r="B32" s="25" t="str">
        <f>RIGHT("a11050007",LEN("a11050007")-1)</f>
        <v>11050007</v>
      </c>
      <c r="C32" s="26" t="s">
        <v>249</v>
      </c>
      <c r="D32" s="25" t="str">
        <f>RIGHT("a21/03/1993",LEN("a21/03/1993")-1)</f>
        <v>21/03/1993</v>
      </c>
      <c r="E32" s="27" t="s">
        <v>244</v>
      </c>
      <c r="F32" s="28">
        <v>3.4</v>
      </c>
      <c r="G32" s="28">
        <v>93</v>
      </c>
      <c r="H32" s="28" t="s">
        <v>11</v>
      </c>
      <c r="I32" s="21">
        <v>620000</v>
      </c>
      <c r="J32" s="20">
        <f t="shared" si="0"/>
        <v>3100000</v>
      </c>
      <c r="K32" s="17"/>
    </row>
    <row r="33" spans="1:11" s="22" customFormat="1" ht="18" customHeight="1">
      <c r="A33" s="13">
        <v>28</v>
      </c>
      <c r="B33" s="25" t="str">
        <f>RIGHT("a11050027",LEN("a11050027")-1)</f>
        <v>11050027</v>
      </c>
      <c r="C33" s="26" t="s">
        <v>250</v>
      </c>
      <c r="D33" s="25" t="str">
        <f>RIGHT("a13/10/1993",LEN("a13/10/1993")-1)</f>
        <v>13/10/1993</v>
      </c>
      <c r="E33" s="27" t="s">
        <v>244</v>
      </c>
      <c r="F33" s="28">
        <v>3.37</v>
      </c>
      <c r="G33" s="28">
        <v>97</v>
      </c>
      <c r="H33" s="28" t="s">
        <v>11</v>
      </c>
      <c r="I33" s="21">
        <v>620000</v>
      </c>
      <c r="J33" s="20">
        <f t="shared" si="0"/>
        <v>3100000</v>
      </c>
      <c r="K33" s="17"/>
    </row>
    <row r="34" spans="1:11" s="22" customFormat="1" ht="18" customHeight="1">
      <c r="A34" s="13">
        <v>29</v>
      </c>
      <c r="B34" s="25" t="str">
        <f>RIGHT("a11050032",LEN("a11050032")-1)</f>
        <v>11050032</v>
      </c>
      <c r="C34" s="26" t="s">
        <v>251</v>
      </c>
      <c r="D34" s="25" t="str">
        <f>RIGHT("a10/09/1993",LEN("a10/09/1993")-1)</f>
        <v>10/09/1993</v>
      </c>
      <c r="E34" s="27" t="s">
        <v>244</v>
      </c>
      <c r="F34" s="28">
        <v>3.37</v>
      </c>
      <c r="G34" s="28">
        <v>97</v>
      </c>
      <c r="H34" s="28" t="s">
        <v>11</v>
      </c>
      <c r="I34" s="21">
        <v>620000</v>
      </c>
      <c r="J34" s="20">
        <f t="shared" si="0"/>
        <v>3100000</v>
      </c>
      <c r="K34" s="17"/>
    </row>
    <row r="35" spans="1:11" s="22" customFormat="1" ht="18" customHeight="1">
      <c r="A35" s="13">
        <v>30</v>
      </c>
      <c r="B35" s="25" t="str">
        <f>RIGHT("a11050133",LEN("a11050133")-1)</f>
        <v>11050133</v>
      </c>
      <c r="C35" s="26" t="s">
        <v>252</v>
      </c>
      <c r="D35" s="25" t="str">
        <f>RIGHT("a23/12/1993",LEN("a23/12/1993")-1)</f>
        <v>23/12/1993</v>
      </c>
      <c r="E35" s="27" t="s">
        <v>244</v>
      </c>
      <c r="F35" s="28">
        <v>3.29</v>
      </c>
      <c r="G35" s="28">
        <v>90</v>
      </c>
      <c r="H35" s="28" t="s">
        <v>11</v>
      </c>
      <c r="I35" s="21">
        <v>620000</v>
      </c>
      <c r="J35" s="20">
        <f t="shared" si="0"/>
        <v>3100000</v>
      </c>
      <c r="K35" s="17"/>
    </row>
    <row r="36" spans="1:11" s="22" customFormat="1" ht="18" customHeight="1">
      <c r="A36" s="13">
        <v>31</v>
      </c>
      <c r="B36" s="25" t="str">
        <f>RIGHT("a11050427",LEN("a11050427")-1)</f>
        <v>11050427</v>
      </c>
      <c r="C36" s="26" t="s">
        <v>253</v>
      </c>
      <c r="D36" s="25" t="str">
        <f>RIGHT("a13/12/1993",LEN("a13/12/1993")-1)</f>
        <v>13/12/1993</v>
      </c>
      <c r="E36" s="27" t="s">
        <v>244</v>
      </c>
      <c r="F36" s="28">
        <v>3.27</v>
      </c>
      <c r="G36" s="28">
        <v>98</v>
      </c>
      <c r="H36" s="28" t="s">
        <v>11</v>
      </c>
      <c r="I36" s="21">
        <v>620000</v>
      </c>
      <c r="J36" s="20">
        <f t="shared" si="0"/>
        <v>3100000</v>
      </c>
      <c r="K36" s="17"/>
    </row>
    <row r="37" spans="1:11" s="22" customFormat="1" ht="18" customHeight="1">
      <c r="A37" s="13">
        <v>32</v>
      </c>
      <c r="B37" s="25" t="str">
        <f>RIGHT("a11050368",LEN("a11050368")-1)</f>
        <v>11050368</v>
      </c>
      <c r="C37" s="26" t="s">
        <v>254</v>
      </c>
      <c r="D37" s="25" t="str">
        <f>RIGHT("a18/04/1993",LEN("a18/04/1993")-1)</f>
        <v>18/04/1993</v>
      </c>
      <c r="E37" s="27" t="s">
        <v>244</v>
      </c>
      <c r="F37" s="32">
        <v>3.27</v>
      </c>
      <c r="G37" s="32">
        <v>85</v>
      </c>
      <c r="H37" s="32" t="s">
        <v>11</v>
      </c>
      <c r="I37" s="39">
        <v>620000</v>
      </c>
      <c r="J37" s="20">
        <f t="shared" si="0"/>
        <v>3100000</v>
      </c>
      <c r="K37" s="17"/>
    </row>
    <row r="38" spans="1:11" s="22" customFormat="1" ht="18" customHeight="1">
      <c r="A38" s="13">
        <v>33</v>
      </c>
      <c r="B38" s="25">
        <v>11050002</v>
      </c>
      <c r="C38" s="26" t="s">
        <v>271</v>
      </c>
      <c r="D38" s="38">
        <v>34209</v>
      </c>
      <c r="E38" s="45" t="s">
        <v>244</v>
      </c>
      <c r="F38" s="13">
        <v>3.24</v>
      </c>
      <c r="G38" s="13">
        <v>85</v>
      </c>
      <c r="H38" s="13" t="s">
        <v>11</v>
      </c>
      <c r="I38" s="15">
        <v>620000</v>
      </c>
      <c r="J38" s="20">
        <f t="shared" si="0"/>
        <v>3100000</v>
      </c>
      <c r="K38" s="17"/>
    </row>
    <row r="39" spans="1:11" s="23" customFormat="1" ht="18" customHeight="1">
      <c r="A39" s="18"/>
      <c r="B39" s="17" t="s">
        <v>7</v>
      </c>
      <c r="C39" s="18"/>
      <c r="D39" s="18"/>
      <c r="E39" s="18"/>
      <c r="F39" s="42"/>
      <c r="G39" s="18"/>
      <c r="H39" s="18"/>
      <c r="I39" s="43"/>
      <c r="J39" s="44">
        <f>SUM(J6:J38)</f>
        <v>111525000</v>
      </c>
      <c r="K39" s="18"/>
    </row>
    <row r="40" spans="2:4" ht="15.75">
      <c r="B40" s="10" t="s">
        <v>306</v>
      </c>
      <c r="C40" s="1"/>
      <c r="D40" s="1"/>
    </row>
    <row r="41" spans="2:4" ht="15.75">
      <c r="B41" s="1"/>
      <c r="C41" s="2"/>
      <c r="D41" s="2"/>
    </row>
    <row r="50" ht="15">
      <c r="D50" s="66"/>
    </row>
    <row r="51" ht="15">
      <c r="D51" s="66"/>
    </row>
    <row r="52" ht="15">
      <c r="D52" s="66"/>
    </row>
    <row r="53" ht="15">
      <c r="D53" s="66"/>
    </row>
    <row r="54" ht="15">
      <c r="D54" s="66"/>
    </row>
    <row r="55" ht="15">
      <c r="D55" s="66"/>
    </row>
    <row r="56" ht="12.75">
      <c r="D56" s="65"/>
    </row>
  </sheetData>
  <autoFilter ref="A5:K40"/>
  <mergeCells count="14">
    <mergeCell ref="F4:F5"/>
    <mergeCell ref="G4:G5"/>
    <mergeCell ref="I4:I5"/>
    <mergeCell ref="J4:J5"/>
    <mergeCell ref="K4:K5"/>
    <mergeCell ref="A1:K1"/>
    <mergeCell ref="A2:K2"/>
    <mergeCell ref="A3:K3"/>
    <mergeCell ref="D4:D5"/>
    <mergeCell ref="H4:H5"/>
    <mergeCell ref="A4:A5"/>
    <mergeCell ref="B4:B5"/>
    <mergeCell ref="C4:C5"/>
    <mergeCell ref="E4:E5"/>
  </mergeCells>
  <printOptions/>
  <pageMargins left="0.25" right="0.25" top="0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User</cp:lastModifiedBy>
  <cp:lastPrinted>2012-05-04T02:06:46Z</cp:lastPrinted>
  <dcterms:created xsi:type="dcterms:W3CDTF">2010-04-16T02:43:46Z</dcterms:created>
  <dcterms:modified xsi:type="dcterms:W3CDTF">2012-05-22T02:00:50Z</dcterms:modified>
  <cp:category/>
  <cp:version/>
  <cp:contentType/>
  <cp:contentStatus/>
</cp:coreProperties>
</file>